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529"/>
  <workbookPr codeName="ThisWorkbook" defaultThemeVersion="124226"/>
  <mc:AlternateContent xmlns:mc="http://schemas.openxmlformats.org/markup-compatibility/2006">
    <mc:Choice Requires="x15">
      <x15ac:absPath xmlns:x15ac="http://schemas.microsoft.com/office/spreadsheetml/2010/11/ac" url="E:\钉钉下载\"/>
    </mc:Choice>
  </mc:AlternateContent>
  <xr:revisionPtr revIDLastSave="0" documentId="13_ncr:1_{84B82E5F-E1DA-4B3F-92A2-0E0F334B102A}" xr6:coauthVersionLast="47" xr6:coauthVersionMax="47" xr10:uidLastSave="{00000000-0000-0000-0000-000000000000}"/>
  <bookViews>
    <workbookView xWindow="-120" yWindow="-120" windowWidth="29040" windowHeight="15840" xr2:uid="{00000000-000D-0000-FFFF-FFFF00000000}"/>
  </bookViews>
  <sheets>
    <sheet name="Heat Pump Calculator" sheetId="3" r:id="rId1"/>
    <sheet name="Lookup" sheetId="2" r:id="rId2"/>
    <sheet name="Calculations" sheetId="6" r:id="rId3"/>
  </sheets>
  <calcPr calcId="181029"/>
  <fileRecoveryPr autoRecover="0"/>
</workbook>
</file>

<file path=xl/calcChain.xml><?xml version="1.0" encoding="utf-8"?>
<calcChain xmlns="http://schemas.openxmlformats.org/spreadsheetml/2006/main">
  <c r="O4" i="2" l="1"/>
  <c r="N4" i="2"/>
  <c r="M4" i="2"/>
  <c r="O3" i="2"/>
  <c r="N3" i="2"/>
  <c r="M3" i="2"/>
  <c r="O8" i="2"/>
  <c r="N8" i="2"/>
  <c r="M8" i="2"/>
  <c r="O9" i="2"/>
  <c r="N9" i="2"/>
  <c r="M9" i="2"/>
  <c r="O7" i="2"/>
  <c r="N7" i="2"/>
  <c r="M7" i="2"/>
  <c r="O5" i="2"/>
  <c r="N5" i="2"/>
  <c r="M5" i="2"/>
  <c r="C6" i="6" l="1"/>
  <c r="C11" i="6"/>
  <c r="C12" i="6"/>
  <c r="C4" i="6"/>
  <c r="C13" i="6"/>
  <c r="C8" i="6"/>
  <c r="C21" i="6" l="1"/>
  <c r="C20" i="6"/>
  <c r="C28" i="6"/>
  <c r="C18" i="6"/>
  <c r="C27" i="6"/>
  <c r="C19" i="6"/>
  <c r="C24" i="6"/>
  <c r="C26" i="6"/>
  <c r="C25" i="6"/>
  <c r="C17" i="6"/>
  <c r="C23" i="6"/>
  <c r="C22" i="6"/>
  <c r="D15" i="3" l="1"/>
  <c r="C5" i="6" l="1"/>
  <c r="C7" i="6" s="1"/>
  <c r="B35" i="6" l="1" a="1"/>
  <c r="B35" i="6" s="1"/>
  <c r="C33" i="3" s="1"/>
  <c r="B34" i="6" a="1"/>
  <c r="B34" i="6" s="1"/>
  <c r="C32" i="3" s="1"/>
  <c r="B33" i="6" a="1"/>
  <c r="B33" i="6" s="1"/>
  <c r="C31" i="3" s="1"/>
  <c r="B32" i="6" a="1"/>
  <c r="B32" i="6" s="1"/>
  <c r="C30" i="3" s="1"/>
  <c r="B31" i="6" a="1"/>
  <c r="B31" i="6" s="1"/>
  <c r="C29" i="3" s="1"/>
  <c r="C9" i="6"/>
  <c r="C10" i="6" s="1"/>
  <c r="Q2" i="2"/>
  <c r="Q3" i="2" s="1"/>
  <c r="Q4" i="2" s="1"/>
  <c r="Q5" i="2" s="1"/>
  <c r="Q6" i="2" s="1"/>
  <c r="Q7" i="2" s="1"/>
  <c r="Q8" i="2" s="1"/>
  <c r="Q9" i="2" s="1"/>
  <c r="Q10" i="2" s="1"/>
  <c r="R3" i="2" l="1"/>
  <c r="R4" i="2"/>
  <c r="R5" i="2"/>
  <c r="R6" i="2"/>
  <c r="R7" i="2"/>
  <c r="R8" i="2"/>
  <c r="R9" i="2"/>
  <c r="R10" i="2"/>
  <c r="R2" i="2"/>
  <c r="S2" i="2" s="1"/>
  <c r="S3" i="2" l="1"/>
  <c r="S4" i="2" s="1"/>
  <c r="S5" i="2" s="1"/>
  <c r="S6" i="2" s="1"/>
  <c r="S7" i="2" s="1"/>
  <c r="S8" i="2" s="1"/>
  <c r="S9" i="2" s="1"/>
  <c r="S10" i="2" s="1"/>
  <c r="B42" i="6"/>
  <c r="B40" i="6"/>
  <c r="B43" i="6"/>
  <c r="B41" i="6"/>
  <c r="D24" i="6" l="1"/>
  <c r="D23" i="6"/>
  <c r="D21" i="6"/>
  <c r="K16" i="3" s="1"/>
  <c r="J16" i="3" s="1"/>
  <c r="D28" i="6"/>
  <c r="K23" i="3" s="1"/>
  <c r="J23" i="3" s="1"/>
  <c r="D20" i="6"/>
  <c r="K15" i="3" s="1"/>
  <c r="J15" i="3" s="1"/>
  <c r="D27" i="6"/>
  <c r="K22" i="3" s="1"/>
  <c r="J22" i="3" s="1"/>
  <c r="D25" i="6"/>
  <c r="K20" i="3" s="1"/>
  <c r="J20" i="3" s="1"/>
  <c r="D17" i="6"/>
  <c r="K12" i="3" s="1"/>
  <c r="J12" i="3" s="1"/>
  <c r="D19" i="6"/>
  <c r="K14" i="3" s="1"/>
  <c r="J14" i="3" s="1"/>
  <c r="D26" i="6"/>
  <c r="K21" i="3" s="1"/>
  <c r="J21" i="3" s="1"/>
  <c r="D18" i="6"/>
  <c r="K13" i="3" s="1"/>
  <c r="J13" i="3" s="1"/>
  <c r="D22" i="6"/>
  <c r="K18" i="3" l="1"/>
  <c r="J18" i="3" s="1"/>
  <c r="K19" i="3"/>
  <c r="J19" i="3" s="1"/>
  <c r="K17" i="3"/>
  <c r="J17" i="3" s="1"/>
  <c r="O22" i="3"/>
  <c r="M22" i="3"/>
  <c r="M16" i="3"/>
  <c r="L16" i="3"/>
  <c r="L20" i="3"/>
  <c r="M20" i="3"/>
  <c r="O21" i="3"/>
  <c r="M21" i="3"/>
  <c r="M13" i="3"/>
  <c r="O13" i="3"/>
  <c r="O23" i="3"/>
  <c r="M23" i="3"/>
  <c r="O14" i="3"/>
  <c r="M14" i="3"/>
  <c r="M15" i="3"/>
  <c r="L15" i="3"/>
  <c r="M12" i="3"/>
  <c r="O12" i="3"/>
  <c r="K26" i="3" l="1"/>
  <c r="O26" i="3"/>
  <c r="O27" i="3" s="1"/>
  <c r="N23" i="3"/>
  <c r="L23" i="3"/>
  <c r="L13" i="3"/>
  <c r="N13" i="3"/>
  <c r="N21" i="3"/>
  <c r="L21" i="3"/>
  <c r="L22" i="3"/>
  <c r="N22" i="3"/>
  <c r="M26" i="3"/>
  <c r="M27" i="3" s="1"/>
  <c r="N12" i="3"/>
  <c r="L12" i="3"/>
  <c r="J26" i="3"/>
  <c r="J27" i="3" s="1"/>
  <c r="N14" i="3"/>
  <c r="L14" i="3"/>
  <c r="D42" i="3" l="1"/>
  <c r="D41" i="3" s="1"/>
  <c r="K27" i="3"/>
  <c r="L26" i="3"/>
  <c r="L27" i="3" s="1"/>
  <c r="N26" i="3"/>
  <c r="N27" i="3"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<sst xmlns="http://schemas.openxmlformats.org/spreadsheetml/2006/main" count="173" uniqueCount="121">
  <si>
    <t>Heating Requirements</t>
  </si>
  <si>
    <t>Your Location</t>
  </si>
  <si>
    <t>Perth</t>
  </si>
  <si>
    <t>Full Year</t>
  </si>
  <si>
    <t>Extended</t>
  </si>
  <si>
    <t>Solar</t>
  </si>
  <si>
    <t>Full Year Heating (12 Mths)</t>
  </si>
  <si>
    <t>Extended Season (9 Mths)</t>
  </si>
  <si>
    <t>Solar Equivalent ( 6 Mths)</t>
  </si>
  <si>
    <t>Pool Dimensions</t>
  </si>
  <si>
    <t>Average Length</t>
  </si>
  <si>
    <t>(Metres)</t>
  </si>
  <si>
    <t>Month</t>
  </si>
  <si>
    <t>Season</t>
  </si>
  <si>
    <t>No Cover</t>
  </si>
  <si>
    <t>With Cover</t>
  </si>
  <si>
    <t>Average Width</t>
  </si>
  <si>
    <t>Jan</t>
  </si>
  <si>
    <t>SUMMER</t>
  </si>
  <si>
    <t>Average Depth</t>
  </si>
  <si>
    <t>Feb</t>
  </si>
  <si>
    <t>March</t>
  </si>
  <si>
    <t>AUTUMN</t>
  </si>
  <si>
    <t>Your Pool Capacity Is</t>
  </si>
  <si>
    <t>(Litres)</t>
  </si>
  <si>
    <t>April</t>
  </si>
  <si>
    <t>May</t>
  </si>
  <si>
    <t>Desired Pool Temperature</t>
  </si>
  <si>
    <t>June</t>
  </si>
  <si>
    <t>WINTER</t>
  </si>
  <si>
    <t>July</t>
  </si>
  <si>
    <t>Pool Cover</t>
  </si>
  <si>
    <t>Aug</t>
  </si>
  <si>
    <t>.</t>
  </si>
  <si>
    <t>Sept</t>
  </si>
  <si>
    <t>SPRING</t>
  </si>
  <si>
    <t>Desired Heating Season</t>
  </si>
  <si>
    <t>All Year Round (12 Months)</t>
  </si>
  <si>
    <t>Oct</t>
  </si>
  <si>
    <t>Nov</t>
  </si>
  <si>
    <t>Power Cost</t>
  </si>
  <si>
    <t>(Cents per KW Hour - from your latest power bill)</t>
  </si>
  <si>
    <t>Dec</t>
  </si>
  <si>
    <t>Total Estimated Annual Running Cost</t>
  </si>
  <si>
    <t>Standard Model</t>
  </si>
  <si>
    <t>Heater Capacity</t>
  </si>
  <si>
    <t>Inverter Model</t>
  </si>
  <si>
    <t>Recommended Heater</t>
  </si>
  <si>
    <t>Upgrade Heater To</t>
  </si>
  <si>
    <t>None</t>
  </si>
  <si>
    <t>Cost Results</t>
  </si>
  <si>
    <t>Estimated Annual Cost</t>
  </si>
  <si>
    <t>With Inverter</t>
  </si>
  <si>
    <t>(Per Annum)</t>
  </si>
  <si>
    <t>Without Inverter</t>
  </si>
  <si>
    <t>© 2017 Aquatight</t>
  </si>
  <si>
    <t>Developed by SolVu Consulting</t>
  </si>
  <si>
    <t>Melbourne</t>
  </si>
  <si>
    <t>Litres</t>
  </si>
  <si>
    <t>Solar Equivalent (6 Months)</t>
  </si>
  <si>
    <t>No Cover Factor</t>
  </si>
  <si>
    <t>Inverter Factor</t>
  </si>
  <si>
    <t>Location</t>
  </si>
  <si>
    <t>Litres Capacity Factor</t>
  </si>
  <si>
    <t>Hours Per Day Factor</t>
  </si>
  <si>
    <t>Heating Period</t>
  </si>
  <si>
    <t>Heater Rating</t>
  </si>
  <si>
    <t>Kw PH Draw</t>
  </si>
  <si>
    <t>Heating Factor</t>
  </si>
  <si>
    <t>Recommended or Greater</t>
  </si>
  <si>
    <t>Ranked</t>
  </si>
  <si>
    <t>Heating Hours Factor</t>
  </si>
  <si>
    <t>Heater Models</t>
  </si>
  <si>
    <t>Pool Temperature</t>
  </si>
  <si>
    <t>Months</t>
  </si>
  <si>
    <t>Hours Per Day Required</t>
  </si>
  <si>
    <t>Brisbane</t>
  </si>
  <si>
    <t>Summer/Autumn/Spring (9 Months)</t>
  </si>
  <si>
    <t>Adelaide Metro</t>
  </si>
  <si>
    <t>Mar</t>
  </si>
  <si>
    <t>Sydney</t>
  </si>
  <si>
    <t>Apr</t>
  </si>
  <si>
    <t>Hobart</t>
  </si>
  <si>
    <t>Jun</t>
  </si>
  <si>
    <t>Adelaide Hills</t>
  </si>
  <si>
    <t>Jul</t>
  </si>
  <si>
    <t>Sep</t>
  </si>
  <si>
    <t>Calculations</t>
  </si>
  <si>
    <t>Recommended Heading Unit</t>
  </si>
  <si>
    <t>Pool Capacity Equivalent</t>
  </si>
  <si>
    <t>Selected Season</t>
  </si>
  <si>
    <t>Selected Heater</t>
  </si>
  <si>
    <t>Draw Per Hour</t>
  </si>
  <si>
    <t>KW per Hour</t>
  </si>
  <si>
    <t>Cost Per Hour</t>
  </si>
  <si>
    <t>Pool Temp Factor</t>
  </si>
  <si>
    <t>Location Hours Factor</t>
  </si>
  <si>
    <t>Upgrade Heater Factor</t>
  </si>
  <si>
    <t>Hours Per Day</t>
  </si>
  <si>
    <t>Hours Per Month</t>
  </si>
  <si>
    <t>Model List</t>
  </si>
  <si>
    <t>Upgraded Heaters</t>
  </si>
  <si>
    <t>Yes</t>
  </si>
  <si>
    <t>IVPR09</t>
  </si>
  <si>
    <t>Aquatight InverterMax-Silent Pro13</t>
  </si>
  <si>
    <t>12.5kW Model</t>
  </si>
  <si>
    <t>12.8kW Model</t>
  </si>
  <si>
    <t>9.0kw Model</t>
  </si>
  <si>
    <t>15.0kW Model</t>
  </si>
  <si>
    <t>16.0kW Model</t>
  </si>
  <si>
    <t>17.3kW Model</t>
  </si>
  <si>
    <t>20.4kW Model</t>
  </si>
  <si>
    <t>35.6kW Model</t>
  </si>
  <si>
    <t>IVPR13</t>
  </si>
  <si>
    <t>Aquatight InverterMax-Silent Pro15</t>
  </si>
  <si>
    <t>IVPR17</t>
  </si>
  <si>
    <t>Aquatight InverterMax-Silent Pro17</t>
  </si>
  <si>
    <t>Aquatight InverterMax-Silent Pro21</t>
  </si>
  <si>
    <t>Aquatight InverterMax-Silent Pro28 or Pro28T</t>
  </si>
  <si>
    <t>Aquatight InverterMax-Silent Pro35T</t>
  </si>
  <si>
    <t>27.0kW Model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</si>
</sst>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quot;$&quot;#,##0;[Red]\-&quot;$&quot;#,##0"/>
    <numFmt numFmtId="177" formatCode="_-&quot;$&quot;* #,##0.00_-;\-&quot;$&quot;* #,##0.00_-;_-&quot;$&quot;* &quot;-&quot;??_-;_-@_-"/>
    <numFmt numFmtId="178" formatCode="_-* #,##0.00_-;\-* #,##0.00_-;_-* &quot;-&quot;??_-;_-@_-"/>
    <numFmt numFmtId="179" formatCode="0.0"/>
    <numFmt numFmtId="180" formatCode="_-* #,##0_-;\-* #,##0_-;_-* &quot;-&quot;??_-;_-@_-"/>
    <numFmt numFmtId="181" formatCode="&quot;$&quot;#,##0.00"/>
    <numFmt numFmtId="182" formatCode="_-&quot;$&quot;* #,##0_-;\-&quot;$&quot;* #,##0_-;_-&quot;$&quot;* &quot;-&quot;??_-;_-@_-"/>
    <numFmt numFmtId="183" formatCode="#,##0_ ;\-#,##0\ "/>
  </numFmts>
  <fonts count="20" x14ac:knownFonts="1">
    <font>
      <sz val="11"/>
      <color theme="1"/>
      <name val="宋体"/>
      <family val="2"/>
      <scheme val="minor"/>
    </font>
    <font>
      <sz val="11"/>
      <color theme="1"/>
      <name val="宋体"/>
      <family val="2"/>
      <scheme val="minor"/>
    </font>
    <font>
      <b/>
      <sz val="11"/>
      <color theme="1"/>
      <name val="宋体"/>
      <family val="2"/>
      <scheme val="minor"/>
    </font>
    <font>
      <sz val="11"/>
      <color rgb="FF002060"/>
      <name val="宋体"/>
      <family val="2"/>
      <scheme val="minor"/>
    </font>
    <font>
      <sz val="11"/>
      <color rgb="FF0070C0"/>
      <name val="宋体"/>
      <family val="2"/>
      <scheme val="minor"/>
    </font>
    <font>
      <b/>
      <sz val="11"/>
      <color rgb="FF0070C0"/>
      <name val="宋体"/>
      <family val="2"/>
      <scheme val="minor"/>
    </font>
    <font>
      <b/>
      <sz val="12"/>
      <color rgb="FF0070C0"/>
      <name val="宋体"/>
      <family val="2"/>
      <scheme val="minor"/>
    </font>
    <font>
      <b/>
      <sz val="14"/>
      <color rgb="FF0070C0"/>
      <name val="宋体"/>
      <family val="2"/>
      <scheme val="minor"/>
    </font>
    <font>
      <i/>
      <sz val="9"/>
      <color rgb="FF0070C0"/>
      <name val="宋体"/>
      <family val="2"/>
      <scheme val="minor"/>
    </font>
    <font>
      <b/>
      <sz val="16"/>
      <color theme="7" tint="-0.499984740745262"/>
      <name val="宋体"/>
      <family val="2"/>
      <scheme val="minor"/>
    </font>
    <font>
      <b/>
      <sz val="12"/>
      <color theme="7" tint="-0.499984740745262"/>
      <name val="宋体"/>
      <family val="2"/>
      <scheme val="minor"/>
    </font>
    <font>
      <b/>
      <sz val="14"/>
      <color theme="7" tint="-0.499984740745262"/>
      <name val="宋体"/>
      <family val="2"/>
      <scheme val="minor"/>
    </font>
    <font>
      <b/>
      <sz val="12"/>
      <color theme="0"/>
      <name val="宋体"/>
      <family val="2"/>
      <scheme val="minor"/>
    </font>
    <font>
      <b/>
      <sz val="11"/>
      <color theme="0"/>
      <name val="宋体"/>
      <family val="2"/>
      <scheme val="minor"/>
    </font>
    <font>
      <b/>
      <sz val="11"/>
      <color rgb="FF002060"/>
      <name val="宋体"/>
      <family val="2"/>
      <scheme val="minor"/>
    </font>
    <font>
      <b/>
      <sz val="14"/>
      <color rgb="FF002060"/>
      <name val="宋体"/>
      <family val="2"/>
      <scheme val="minor"/>
    </font>
    <font>
      <b/>
      <u/>
      <sz val="11"/>
      <color rgb="FF0070C0"/>
      <name val="宋体"/>
      <family val="2"/>
      <scheme val="minor"/>
    </font>
    <font>
      <sz val="11"/>
      <color rgb="FF1F497D"/>
      <name val="宋体"/>
      <family val="2"/>
      <scheme val="minor"/>
    </font>
    <font>
      <sz val="11"/>
      <color theme="3" tint="0.79998168889431442"/>
      <name val="宋体"/>
      <family val="2"/>
      <scheme val="minor"/>
    </font>
    <font>
      <sz val="9"/>
      <name val="宋体"/>
      <family val="3"/>
      <charset val="134"/>
      <scheme val="minor"/>
    </font>
  </fonts>
  <fills count="8">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theme="4"/>
        <bgColor indexed="64"/>
      </patternFill>
    </fill>
    <fill>
      <patternFill patternType="solid">
        <fgColor rgb="FF0070C0"/>
        <bgColor indexed="64"/>
      </patternFill>
    </fill>
    <fill>
      <patternFill patternType="solid">
        <fgColor theme="7" tint="0.59999389629810485"/>
        <bgColor indexed="64"/>
      </patternFill>
    </fill>
    <fill>
      <patternFill patternType="solid">
        <fgColor theme="4" tint="0.79998168889431442"/>
        <bgColor theme="4" tint="0.79998168889431442"/>
      </patternFill>
    </fill>
  </fills>
  <borders count="40">
    <border>
      <left/>
      <right/>
      <top/>
      <bottom/>
      <diagonal/>
    </border>
    <border>
      <left style="thin">
        <color rgb="FF002060"/>
      </left>
      <right style="thin">
        <color rgb="FF002060"/>
      </right>
      <top style="thin">
        <color rgb="FF002060"/>
      </top>
      <bottom style="thin">
        <color rgb="FF002060"/>
      </bottom>
      <diagonal/>
    </border>
    <border>
      <left style="thin">
        <color rgb="FF002060"/>
      </left>
      <right/>
      <top/>
      <bottom/>
      <diagonal/>
    </border>
    <border>
      <left style="thin">
        <color rgb="FF002060"/>
      </left>
      <right/>
      <top style="thin">
        <color rgb="FF002060"/>
      </top>
      <bottom style="thin">
        <color rgb="FF002060"/>
      </bottom>
      <diagonal/>
    </border>
    <border>
      <left/>
      <right/>
      <top style="thin">
        <color rgb="FF002060"/>
      </top>
      <bottom style="thin">
        <color rgb="FF002060"/>
      </bottom>
      <diagonal/>
    </border>
    <border>
      <left/>
      <right style="thin">
        <color rgb="FF002060"/>
      </right>
      <top style="thin">
        <color rgb="FF002060"/>
      </top>
      <bottom style="thin">
        <color rgb="FF002060"/>
      </bottom>
      <diagonal/>
    </border>
    <border>
      <left style="thin">
        <color rgb="FF002060"/>
      </left>
      <right/>
      <top style="thin">
        <color rgb="FF002060"/>
      </top>
      <bottom/>
      <diagonal/>
    </border>
    <border>
      <left/>
      <right style="thin">
        <color rgb="FF002060"/>
      </right>
      <top style="thin">
        <color rgb="FF002060"/>
      </top>
      <bottom/>
      <diagonal/>
    </border>
    <border>
      <left/>
      <right style="thin">
        <color rgb="FF002060"/>
      </right>
      <top/>
      <bottom/>
      <diagonal/>
    </border>
    <border>
      <left style="thin">
        <color rgb="FF002060"/>
      </left>
      <right/>
      <top/>
      <bottom style="thin">
        <color rgb="FF002060"/>
      </bottom>
      <diagonal/>
    </border>
    <border>
      <left/>
      <right style="thin">
        <color rgb="FF002060"/>
      </right>
      <top/>
      <bottom style="thin">
        <color rgb="FF002060"/>
      </bottom>
      <diagonal/>
    </border>
    <border>
      <left style="medium">
        <color rgb="FF002060"/>
      </left>
      <right style="thin">
        <color rgb="FF002060"/>
      </right>
      <top style="thin">
        <color rgb="FF002060"/>
      </top>
      <bottom/>
      <diagonal/>
    </border>
    <border>
      <left style="thin">
        <color rgb="FF002060"/>
      </left>
      <right style="medium">
        <color rgb="FF002060"/>
      </right>
      <top style="thin">
        <color rgb="FF002060"/>
      </top>
      <bottom/>
      <diagonal/>
    </border>
    <border>
      <left style="medium">
        <color rgb="FF002060"/>
      </left>
      <right style="thin">
        <color rgb="FF002060"/>
      </right>
      <top/>
      <bottom style="thin">
        <color rgb="FF002060"/>
      </bottom>
      <diagonal/>
    </border>
    <border>
      <left style="thin">
        <color rgb="FF002060"/>
      </left>
      <right style="medium">
        <color rgb="FF002060"/>
      </right>
      <top/>
      <bottom style="thin">
        <color rgb="FF002060"/>
      </bottom>
      <diagonal/>
    </border>
    <border>
      <left style="medium">
        <color rgb="FF002060"/>
      </left>
      <right style="thin">
        <color rgb="FF002060"/>
      </right>
      <top/>
      <bottom/>
      <diagonal/>
    </border>
    <border>
      <left style="thin">
        <color rgb="FF002060"/>
      </left>
      <right style="medium">
        <color rgb="FF002060"/>
      </right>
      <top/>
      <bottom/>
      <diagonal/>
    </border>
    <border>
      <left style="medium">
        <color rgb="FF002060"/>
      </left>
      <right style="thin">
        <color rgb="FF002060"/>
      </right>
      <top style="medium">
        <color rgb="FF002060"/>
      </top>
      <bottom style="thin">
        <color rgb="FF002060"/>
      </bottom>
      <diagonal/>
    </border>
    <border>
      <left style="thin">
        <color rgb="FF002060"/>
      </left>
      <right/>
      <top style="medium">
        <color rgb="FF002060"/>
      </top>
      <bottom style="thin">
        <color rgb="FF002060"/>
      </bottom>
      <diagonal/>
    </border>
    <border>
      <left style="medium">
        <color rgb="FF002060"/>
      </left>
      <right style="thin">
        <color rgb="FF002060"/>
      </right>
      <top/>
      <bottom style="medium">
        <color rgb="FF002060"/>
      </bottom>
      <diagonal/>
    </border>
    <border>
      <left style="thin">
        <color rgb="FF002060"/>
      </left>
      <right style="medium">
        <color rgb="FF002060"/>
      </right>
      <top/>
      <bottom style="medium">
        <color rgb="FF002060"/>
      </bottom>
      <diagonal/>
    </border>
    <border>
      <left/>
      <right style="thin">
        <color rgb="FF002060"/>
      </right>
      <top/>
      <bottom style="medium">
        <color rgb="FF002060"/>
      </bottom>
      <diagonal/>
    </border>
    <border>
      <left style="medium">
        <color rgb="FF002060"/>
      </left>
      <right style="thin">
        <color rgb="FF002060"/>
      </right>
      <top style="medium">
        <color rgb="FF002060"/>
      </top>
      <bottom/>
      <diagonal/>
    </border>
    <border>
      <left style="thin">
        <color rgb="FF002060"/>
      </left>
      <right style="medium">
        <color rgb="FF002060"/>
      </right>
      <top style="medium">
        <color rgb="FF002060"/>
      </top>
      <bottom/>
      <diagonal/>
    </border>
    <border>
      <left/>
      <right style="thin">
        <color rgb="FF002060"/>
      </right>
      <top style="medium">
        <color rgb="FF002060"/>
      </top>
      <bottom/>
      <diagonal/>
    </border>
    <border>
      <left style="medium">
        <color rgb="FF002060"/>
      </left>
      <right/>
      <top style="medium">
        <color rgb="FF002060"/>
      </top>
      <bottom/>
      <diagonal/>
    </border>
    <border>
      <left/>
      <right style="medium">
        <color rgb="FF002060"/>
      </right>
      <top style="medium">
        <color rgb="FF002060"/>
      </top>
      <bottom/>
      <diagonal/>
    </border>
    <border>
      <left style="medium">
        <color rgb="FF002060"/>
      </left>
      <right/>
      <top/>
      <bottom style="medium">
        <color rgb="FF002060"/>
      </bottom>
      <diagonal/>
    </border>
    <border>
      <left/>
      <right style="medium">
        <color rgb="FF002060"/>
      </right>
      <top/>
      <bottom style="medium">
        <color rgb="FF002060"/>
      </bottom>
      <diagonal/>
    </border>
    <border>
      <left style="thin">
        <color rgb="FF002060"/>
      </left>
      <right style="medium">
        <color rgb="FF002060"/>
      </right>
      <top style="medium">
        <color rgb="FF002060"/>
      </top>
      <bottom style="thin">
        <color rgb="FF002060"/>
      </bottom>
      <diagonal/>
    </border>
    <border>
      <left/>
      <right style="thin">
        <color rgb="FF002060"/>
      </right>
      <top style="medium">
        <color rgb="FF002060"/>
      </top>
      <bottom style="thin">
        <color rgb="FF002060"/>
      </bottom>
      <diagonal/>
    </border>
    <border>
      <left style="medium">
        <color rgb="FF002060"/>
      </left>
      <right style="thin">
        <color rgb="FF002060"/>
      </right>
      <top style="thin">
        <color rgb="FF002060"/>
      </top>
      <bottom style="medium">
        <color rgb="FF002060"/>
      </bottom>
      <diagonal/>
    </border>
    <border>
      <left style="thin">
        <color rgb="FF002060"/>
      </left>
      <right/>
      <top style="thin">
        <color rgb="FF002060"/>
      </top>
      <bottom style="medium">
        <color rgb="FF002060"/>
      </bottom>
      <diagonal/>
    </border>
    <border>
      <left style="thin">
        <color rgb="FF002060"/>
      </left>
      <right style="medium">
        <color rgb="FF002060"/>
      </right>
      <top style="thin">
        <color rgb="FF002060"/>
      </top>
      <bottom style="medium">
        <color rgb="FF002060"/>
      </bottom>
      <diagonal/>
    </border>
    <border>
      <left/>
      <right style="thin">
        <color rgb="FF002060"/>
      </right>
      <top style="thin">
        <color rgb="FF002060"/>
      </top>
      <bottom style="medium">
        <color rgb="FF002060"/>
      </bottom>
      <diagonal/>
    </border>
    <border>
      <left/>
      <right/>
      <top style="medium">
        <color rgb="FF002060"/>
      </top>
      <bottom/>
      <diagonal/>
    </border>
    <border>
      <left/>
      <right/>
      <top/>
      <bottom style="medium">
        <color rgb="FF002060"/>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s>
  <cellStyleXfs count="3">
    <xf numFmtId="0" fontId="0" fillId="0" borderId="0"/>
    <xf numFmtId="177" fontId="1" fillId="0" borderId="0" applyFont="0" applyFill="0" applyBorder="0" applyAlignment="0" applyProtection="0"/>
    <xf numFmtId="178" fontId="1" fillId="0" borderId="0" applyFont="0" applyFill="0" applyBorder="0" applyAlignment="0" applyProtection="0"/>
  </cellStyleXfs>
  <cellXfs count="106">
    <xf numFmtId="0" fontId="0" fillId="0" borderId="0" xfId="0"/>
    <xf numFmtId="0" fontId="4" fillId="3" borderId="0" xfId="0" applyFont="1" applyFill="1"/>
    <xf numFmtId="0" fontId="5" fillId="3" borderId="0" xfId="0" applyFont="1" applyFill="1"/>
    <xf numFmtId="0" fontId="6" fillId="3" borderId="0" xfId="0" applyFont="1" applyFill="1"/>
    <xf numFmtId="0" fontId="7" fillId="3" borderId="0" xfId="0" applyFont="1" applyFill="1"/>
    <xf numFmtId="0" fontId="4" fillId="3" borderId="0" xfId="0" applyFont="1" applyFill="1" applyAlignment="1">
      <alignment horizontal="left" indent="2"/>
    </xf>
    <xf numFmtId="0" fontId="8" fillId="3" borderId="0" xfId="0" applyFont="1" applyFill="1" applyAlignment="1">
      <alignment horizontal="left" indent="1"/>
    </xf>
    <xf numFmtId="0" fontId="5" fillId="3" borderId="0" xfId="0" applyFont="1" applyFill="1" applyAlignment="1">
      <alignment horizontal="left" indent="2"/>
    </xf>
    <xf numFmtId="0" fontId="9" fillId="3" borderId="0" xfId="0" applyFont="1" applyFill="1"/>
    <xf numFmtId="0" fontId="4" fillId="3" borderId="0" xfId="0" applyFont="1" applyFill="1" applyAlignment="1">
      <alignment horizontal="left" indent="1"/>
    </xf>
    <xf numFmtId="0" fontId="5" fillId="3" borderId="0" xfId="0" applyFont="1" applyFill="1" applyAlignment="1">
      <alignment horizontal="left" indent="1"/>
    </xf>
    <xf numFmtId="0" fontId="4" fillId="3" borderId="0" xfId="0" applyFont="1" applyFill="1" applyAlignment="1">
      <alignment vertical="center"/>
    </xf>
    <xf numFmtId="0" fontId="12" fillId="5" borderId="17" xfId="0" applyFont="1" applyFill="1" applyBorder="1" applyAlignment="1">
      <alignment horizontal="left" vertical="center" indent="1"/>
    </xf>
    <xf numFmtId="0" fontId="5" fillId="3" borderId="11" xfId="0" applyFont="1" applyFill="1" applyBorder="1" applyAlignment="1">
      <alignment horizontal="left" vertical="center" indent="1"/>
    </xf>
    <xf numFmtId="0" fontId="5" fillId="3" borderId="13" xfId="0" applyFont="1" applyFill="1" applyBorder="1" applyAlignment="1">
      <alignment horizontal="left" vertical="center" indent="1"/>
    </xf>
    <xf numFmtId="0" fontId="5" fillId="3" borderId="15" xfId="0" applyFont="1" applyFill="1" applyBorder="1" applyAlignment="1">
      <alignment horizontal="left" vertical="center" indent="1"/>
    </xf>
    <xf numFmtId="0" fontId="12" fillId="5" borderId="18" xfId="0" applyFont="1" applyFill="1" applyBorder="1" applyAlignment="1">
      <alignment horizontal="center" vertical="center"/>
    </xf>
    <xf numFmtId="182" fontId="4" fillId="3" borderId="12" xfId="1" applyNumberFormat="1" applyFont="1" applyFill="1" applyBorder="1" applyAlignment="1">
      <alignment horizontal="center"/>
    </xf>
    <xf numFmtId="182" fontId="4" fillId="3" borderId="14" xfId="1" applyNumberFormat="1" applyFont="1" applyFill="1" applyBorder="1" applyAlignment="1">
      <alignment horizontal="center"/>
    </xf>
    <xf numFmtId="182" fontId="4" fillId="3" borderId="16" xfId="1" applyNumberFormat="1" applyFont="1" applyFill="1" applyBorder="1" applyAlignment="1">
      <alignment horizontal="center"/>
    </xf>
    <xf numFmtId="182" fontId="4" fillId="3" borderId="0" xfId="0" applyNumberFormat="1" applyFont="1" applyFill="1"/>
    <xf numFmtId="179" fontId="4" fillId="0" borderId="1" xfId="2" applyNumberFormat="1" applyFont="1" applyFill="1" applyBorder="1" applyAlignment="1" applyProtection="1">
      <alignment horizontal="left" indent="2"/>
      <protection locked="0"/>
    </xf>
    <xf numFmtId="0" fontId="4" fillId="0" borderId="1" xfId="0" applyFont="1" applyBorder="1" applyAlignment="1" applyProtection="1">
      <alignment horizontal="left" indent="2"/>
      <protection locked="0"/>
    </xf>
    <xf numFmtId="0" fontId="4" fillId="0" borderId="1" xfId="0" applyFont="1" applyBorder="1" applyAlignment="1" applyProtection="1">
      <alignment horizontal="center"/>
      <protection locked="0"/>
    </xf>
    <xf numFmtId="0" fontId="11" fillId="3" borderId="0" xfId="0" applyFont="1" applyFill="1" applyAlignment="1">
      <alignment vertical="top"/>
    </xf>
    <xf numFmtId="0" fontId="16" fillId="3" borderId="0" xfId="0" applyFont="1" applyFill="1"/>
    <xf numFmtId="0" fontId="17" fillId="0" borderId="0" xfId="0" applyFont="1" applyAlignment="1">
      <alignment vertical="center"/>
    </xf>
    <xf numFmtId="179" fontId="4" fillId="0" borderId="1" xfId="2" applyNumberFormat="1" applyFont="1" applyFill="1" applyBorder="1" applyAlignment="1" applyProtection="1">
      <alignment horizontal="center"/>
      <protection locked="0"/>
    </xf>
    <xf numFmtId="180" fontId="5" fillId="3" borderId="0" xfId="2" applyNumberFormat="1" applyFont="1" applyFill="1" applyAlignment="1" applyProtection="1">
      <alignment horizontal="left"/>
      <protection hidden="1"/>
    </xf>
    <xf numFmtId="0" fontId="4" fillId="3" borderId="0" xfId="0" applyFont="1" applyFill="1" applyAlignment="1" applyProtection="1">
      <alignment horizontal="left" indent="1"/>
      <protection hidden="1"/>
    </xf>
    <xf numFmtId="176" fontId="11" fillId="3" borderId="0" xfId="1" applyNumberFormat="1" applyFont="1" applyFill="1" applyAlignment="1" applyProtection="1">
      <protection hidden="1"/>
    </xf>
    <xf numFmtId="182" fontId="4" fillId="3" borderId="12" xfId="1" applyNumberFormat="1" applyFont="1" applyFill="1" applyBorder="1" applyAlignment="1" applyProtection="1">
      <alignment horizontal="center"/>
      <protection hidden="1"/>
    </xf>
    <xf numFmtId="182" fontId="4" fillId="3" borderId="14" xfId="1" applyNumberFormat="1" applyFont="1" applyFill="1" applyBorder="1" applyAlignment="1" applyProtection="1">
      <alignment horizontal="center"/>
      <protection hidden="1"/>
    </xf>
    <xf numFmtId="182" fontId="4" fillId="3" borderId="16" xfId="1" applyNumberFormat="1" applyFont="1" applyFill="1" applyBorder="1" applyAlignment="1" applyProtection="1">
      <alignment horizontal="center"/>
      <protection hidden="1"/>
    </xf>
    <xf numFmtId="182" fontId="10" fillId="2" borderId="22" xfId="1" applyNumberFormat="1" applyFont="1" applyFill="1" applyBorder="1" applyAlignment="1" applyProtection="1">
      <alignment horizontal="center"/>
      <protection hidden="1"/>
    </xf>
    <xf numFmtId="182" fontId="10" fillId="2" borderId="23" xfId="1" applyNumberFormat="1" applyFont="1" applyFill="1" applyBorder="1" applyAlignment="1" applyProtection="1">
      <alignment horizontal="center"/>
      <protection hidden="1"/>
    </xf>
    <xf numFmtId="182" fontId="10" fillId="2" borderId="24" xfId="1" applyNumberFormat="1" applyFont="1" applyFill="1" applyBorder="1" applyAlignment="1" applyProtection="1">
      <alignment horizontal="center"/>
      <protection hidden="1"/>
    </xf>
    <xf numFmtId="182" fontId="10" fillId="2" borderId="19" xfId="1" applyNumberFormat="1" applyFont="1" applyFill="1" applyBorder="1" applyAlignment="1" applyProtection="1">
      <alignment horizontal="center"/>
      <protection hidden="1"/>
    </xf>
    <xf numFmtId="182" fontId="10" fillId="2" borderId="20" xfId="1" applyNumberFormat="1" applyFont="1" applyFill="1" applyBorder="1" applyAlignment="1" applyProtection="1">
      <alignment horizontal="center"/>
      <protection hidden="1"/>
    </xf>
    <xf numFmtId="182" fontId="10" fillId="2" borderId="21" xfId="1" applyNumberFormat="1" applyFont="1" applyFill="1" applyBorder="1" applyAlignment="1" applyProtection="1">
      <alignment horizontal="center"/>
      <protection hidden="1"/>
    </xf>
    <xf numFmtId="0" fontId="18" fillId="3" borderId="0" xfId="0" applyFont="1" applyFill="1"/>
    <xf numFmtId="0" fontId="12" fillId="5" borderId="29" xfId="0" applyFont="1" applyFill="1" applyBorder="1" applyAlignment="1">
      <alignment horizontal="left" vertical="center" indent="1"/>
    </xf>
    <xf numFmtId="0" fontId="12" fillId="5" borderId="30" xfId="0" applyFont="1" applyFill="1" applyBorder="1" applyAlignment="1">
      <alignment horizontal="left" vertical="center" indent="1"/>
    </xf>
    <xf numFmtId="0" fontId="5" fillId="3" borderId="31" xfId="0" applyFont="1" applyFill="1" applyBorder="1" applyAlignment="1">
      <alignment horizontal="left" vertical="center" indent="1"/>
    </xf>
    <xf numFmtId="0" fontId="5" fillId="3" borderId="32" xfId="0" applyFont="1" applyFill="1" applyBorder="1" applyAlignment="1">
      <alignment horizontal="center" vertical="center"/>
    </xf>
    <xf numFmtId="177" fontId="4" fillId="3" borderId="31" xfId="1" applyFont="1" applyFill="1" applyBorder="1" applyAlignment="1" applyProtection="1">
      <alignment horizontal="center"/>
      <protection hidden="1"/>
    </xf>
    <xf numFmtId="182" fontId="4" fillId="3" borderId="33" xfId="1" applyNumberFormat="1" applyFont="1" applyFill="1" applyBorder="1" applyAlignment="1" applyProtection="1">
      <alignment horizontal="center"/>
      <protection hidden="1"/>
    </xf>
    <xf numFmtId="177" fontId="4" fillId="3" borderId="34" xfId="1" applyFont="1" applyFill="1" applyBorder="1" applyAlignment="1" applyProtection="1">
      <alignment horizontal="center"/>
      <protection hidden="1"/>
    </xf>
    <xf numFmtId="182" fontId="4" fillId="3" borderId="11" xfId="1" applyNumberFormat="1" applyFont="1" applyFill="1" applyBorder="1" applyAlignment="1" applyProtection="1">
      <alignment horizontal="center"/>
      <protection hidden="1"/>
    </xf>
    <xf numFmtId="182" fontId="4" fillId="3" borderId="13" xfId="1" applyNumberFormat="1" applyFont="1" applyFill="1" applyBorder="1" applyAlignment="1" applyProtection="1">
      <alignment horizontal="center"/>
      <protection hidden="1"/>
    </xf>
    <xf numFmtId="182" fontId="4" fillId="3" borderId="15" xfId="1" applyNumberFormat="1" applyFont="1" applyFill="1" applyBorder="1" applyAlignment="1" applyProtection="1">
      <alignment horizontal="center"/>
      <protection hidden="1"/>
    </xf>
    <xf numFmtId="182" fontId="4" fillId="3" borderId="15" xfId="1" applyNumberFormat="1" applyFont="1" applyFill="1" applyBorder="1" applyAlignment="1">
      <alignment horizontal="center"/>
    </xf>
    <xf numFmtId="182" fontId="4" fillId="3" borderId="13" xfId="1" applyNumberFormat="1" applyFont="1" applyFill="1" applyBorder="1" applyAlignment="1">
      <alignment horizontal="center"/>
    </xf>
    <xf numFmtId="182" fontId="4" fillId="3" borderId="7" xfId="1" applyNumberFormat="1" applyFont="1" applyFill="1" applyBorder="1" applyAlignment="1" applyProtection="1">
      <alignment horizontal="center"/>
      <protection hidden="1"/>
    </xf>
    <xf numFmtId="182" fontId="4" fillId="3" borderId="10" xfId="1" applyNumberFormat="1" applyFont="1" applyFill="1" applyBorder="1" applyAlignment="1" applyProtection="1">
      <alignment horizontal="center"/>
      <protection hidden="1"/>
    </xf>
    <xf numFmtId="182" fontId="4" fillId="3" borderId="8" xfId="1" applyNumberFormat="1" applyFont="1" applyFill="1" applyBorder="1" applyAlignment="1">
      <alignment horizontal="center"/>
    </xf>
    <xf numFmtId="182" fontId="4" fillId="3" borderId="7" xfId="1" applyNumberFormat="1" applyFont="1" applyFill="1" applyBorder="1" applyAlignment="1">
      <alignment horizontal="center"/>
    </xf>
    <xf numFmtId="182" fontId="4" fillId="3" borderId="10" xfId="1" applyNumberFormat="1" applyFont="1" applyFill="1" applyBorder="1" applyAlignment="1">
      <alignment horizontal="center"/>
    </xf>
    <xf numFmtId="182" fontId="4" fillId="3" borderId="8" xfId="1" applyNumberFormat="1" applyFont="1" applyFill="1" applyBorder="1" applyAlignment="1" applyProtection="1">
      <alignment horizontal="center"/>
      <protection hidden="1"/>
    </xf>
    <xf numFmtId="180" fontId="3" fillId="0" borderId="0" xfId="2" applyNumberFormat="1" applyFont="1" applyAlignment="1">
      <alignment horizontal="left" vertical="center"/>
    </xf>
    <xf numFmtId="0" fontId="3" fillId="0" borderId="0" xfId="0" applyFont="1" applyAlignment="1">
      <alignment horizontal="left" vertical="center"/>
    </xf>
    <xf numFmtId="0" fontId="13" fillId="4" borderId="0" xfId="0" applyFont="1" applyFill="1" applyAlignment="1">
      <alignment vertical="center" wrapText="1"/>
    </xf>
    <xf numFmtId="0" fontId="3" fillId="0" borderId="0" xfId="0" applyFont="1" applyAlignment="1">
      <alignment vertical="center"/>
    </xf>
    <xf numFmtId="0" fontId="13" fillId="4" borderId="0" xfId="0" applyFont="1" applyFill="1" applyAlignment="1">
      <alignment vertical="center"/>
    </xf>
    <xf numFmtId="0" fontId="14" fillId="0" borderId="0" xfId="0" applyFont="1" applyAlignment="1">
      <alignment vertical="center"/>
    </xf>
    <xf numFmtId="180" fontId="3" fillId="0" borderId="0" xfId="2" applyNumberFormat="1" applyFont="1" applyAlignment="1">
      <alignment vertical="center"/>
    </xf>
    <xf numFmtId="2" fontId="3" fillId="0" borderId="0" xfId="0" applyNumberFormat="1" applyFont="1" applyAlignment="1">
      <alignment vertical="center"/>
    </xf>
    <xf numFmtId="0" fontId="13" fillId="4" borderId="37" xfId="0" applyFont="1" applyFill="1" applyBorder="1" applyAlignment="1">
      <alignment horizontal="center" vertical="center" wrapText="1"/>
    </xf>
    <xf numFmtId="0" fontId="13" fillId="4" borderId="38" xfId="0" applyFont="1" applyFill="1" applyBorder="1" applyAlignment="1">
      <alignment horizontal="center" vertical="center" wrapText="1"/>
    </xf>
    <xf numFmtId="2" fontId="13" fillId="4" borderId="39" xfId="0" applyNumberFormat="1" applyFont="1" applyFill="1" applyBorder="1" applyAlignment="1">
      <alignment horizontal="center" vertical="center" wrapText="1"/>
    </xf>
    <xf numFmtId="0" fontId="3" fillId="7" borderId="37" xfId="0" applyFont="1" applyFill="1" applyBorder="1" applyAlignment="1">
      <alignment horizontal="center" vertical="center"/>
    </xf>
    <xf numFmtId="0" fontId="3" fillId="7" borderId="38" xfId="0" applyFont="1" applyFill="1" applyBorder="1" applyAlignment="1">
      <alignment horizontal="center" vertical="center"/>
    </xf>
    <xf numFmtId="180" fontId="3" fillId="7" borderId="38" xfId="2" applyNumberFormat="1" applyFont="1" applyFill="1" applyBorder="1" applyAlignment="1">
      <alignment horizontal="center" vertical="center"/>
    </xf>
    <xf numFmtId="178" fontId="3" fillId="7" borderId="38" xfId="2" applyFont="1" applyFill="1" applyBorder="1" applyAlignment="1">
      <alignment horizontal="center" vertical="center"/>
    </xf>
    <xf numFmtId="180" fontId="3" fillId="6" borderId="38" xfId="2" applyNumberFormat="1" applyFont="1" applyFill="1" applyBorder="1" applyAlignment="1">
      <alignment horizontal="center" vertical="center"/>
    </xf>
    <xf numFmtId="2" fontId="3" fillId="6" borderId="39" xfId="2" applyNumberFormat="1" applyFont="1" applyFill="1" applyBorder="1" applyAlignment="1">
      <alignment horizontal="center" vertical="center"/>
    </xf>
    <xf numFmtId="0" fontId="3" fillId="0" borderId="37" xfId="0" applyFont="1" applyBorder="1" applyAlignment="1">
      <alignment horizontal="center" vertical="center"/>
    </xf>
    <xf numFmtId="0" fontId="3" fillId="0" borderId="38" xfId="0" applyFont="1" applyBorder="1" applyAlignment="1">
      <alignment horizontal="center" vertical="center"/>
    </xf>
    <xf numFmtId="180" fontId="3" fillId="0" borderId="38" xfId="2" applyNumberFormat="1" applyFont="1" applyBorder="1" applyAlignment="1">
      <alignment horizontal="center" vertical="center"/>
    </xf>
    <xf numFmtId="178" fontId="3" fillId="0" borderId="38" xfId="2" applyFont="1" applyBorder="1" applyAlignment="1">
      <alignment horizontal="center" vertical="center"/>
    </xf>
    <xf numFmtId="0" fontId="3" fillId="0" borderId="0" xfId="0" applyFont="1" applyAlignment="1" applyProtection="1">
      <alignment horizontal="left" vertical="center"/>
      <protection hidden="1"/>
    </xf>
    <xf numFmtId="0" fontId="15" fillId="0" borderId="0" xfId="0" applyFont="1" applyAlignment="1">
      <alignment horizontal="left" vertical="center"/>
    </xf>
    <xf numFmtId="0" fontId="14" fillId="0" borderId="0" xfId="0" applyFont="1" applyAlignment="1">
      <alignment horizontal="left" vertical="center"/>
    </xf>
    <xf numFmtId="181" fontId="3" fillId="0" borderId="0" xfId="1" applyNumberFormat="1" applyFont="1" applyAlignment="1" applyProtection="1">
      <alignment horizontal="left" vertical="center"/>
      <protection hidden="1"/>
    </xf>
    <xf numFmtId="0" fontId="3" fillId="0" borderId="0" xfId="0" applyFont="1" applyAlignment="1">
      <alignment horizontal="left" vertical="center" wrapText="1"/>
    </xf>
    <xf numFmtId="183" fontId="3" fillId="0" borderId="0" xfId="2" applyNumberFormat="1" applyFont="1" applyAlignment="1" applyProtection="1">
      <alignment horizontal="left" vertical="center"/>
      <protection hidden="1"/>
    </xf>
    <xf numFmtId="0" fontId="4" fillId="0" borderId="3" xfId="0" applyFont="1" applyBorder="1" applyAlignment="1" applyProtection="1">
      <alignment horizontal="center"/>
      <protection locked="0"/>
    </xf>
    <xf numFmtId="0" fontId="4" fillId="0" borderId="5" xfId="0" applyFont="1" applyBorder="1" applyAlignment="1" applyProtection="1">
      <alignment horizontal="center"/>
      <protection locked="0"/>
    </xf>
    <xf numFmtId="0" fontId="4" fillId="0" borderId="4" xfId="0" applyFont="1" applyBorder="1" applyAlignment="1" applyProtection="1">
      <alignment horizontal="center"/>
      <protection locked="0"/>
    </xf>
    <xf numFmtId="0" fontId="5" fillId="3" borderId="6" xfId="0" applyFont="1" applyFill="1" applyBorder="1" applyAlignment="1">
      <alignment horizontal="center" vertical="center"/>
    </xf>
    <xf numFmtId="0" fontId="5" fillId="3" borderId="9" xfId="0" applyFont="1" applyFill="1" applyBorder="1" applyAlignment="1">
      <alignment horizontal="center" vertical="center"/>
    </xf>
    <xf numFmtId="0" fontId="5" fillId="3" borderId="12" xfId="0" applyFont="1" applyFill="1" applyBorder="1" applyAlignment="1">
      <alignment horizontal="center" vertical="center"/>
    </xf>
    <xf numFmtId="0" fontId="5" fillId="3" borderId="16" xfId="0" applyFont="1" applyFill="1" applyBorder="1" applyAlignment="1">
      <alignment horizontal="center" vertical="center"/>
    </xf>
    <xf numFmtId="0" fontId="5" fillId="3" borderId="14" xfId="0" applyFont="1" applyFill="1" applyBorder="1" applyAlignment="1">
      <alignment horizontal="center" vertical="center"/>
    </xf>
    <xf numFmtId="0" fontId="2" fillId="0" borderId="2" xfId="0" applyFont="1" applyBorder="1" applyAlignment="1">
      <alignment horizontal="center" vertical="center"/>
    </xf>
    <xf numFmtId="0" fontId="2" fillId="0" borderId="9" xfId="0" applyFont="1" applyBorder="1" applyAlignment="1">
      <alignment horizontal="center" vertical="center"/>
    </xf>
    <xf numFmtId="0" fontId="10" fillId="2" borderId="25" xfId="0" applyFont="1" applyFill="1" applyBorder="1" applyAlignment="1">
      <alignment horizontal="left" vertical="center" indent="1"/>
    </xf>
    <xf numFmtId="0" fontId="10" fillId="2" borderId="26" xfId="0" applyFont="1" applyFill="1" applyBorder="1" applyAlignment="1">
      <alignment horizontal="left" vertical="center" indent="1"/>
    </xf>
    <xf numFmtId="0" fontId="10" fillId="2" borderId="27" xfId="0" applyFont="1" applyFill="1" applyBorder="1" applyAlignment="1">
      <alignment horizontal="left" vertical="center" indent="1"/>
    </xf>
    <xf numFmtId="0" fontId="0" fillId="2" borderId="28" xfId="0" applyFill="1" applyBorder="1" applyAlignment="1">
      <alignment horizontal="left" vertical="center" indent="1"/>
    </xf>
    <xf numFmtId="0" fontId="12" fillId="5" borderId="25" xfId="0" applyFont="1" applyFill="1" applyBorder="1" applyAlignment="1">
      <alignment horizontal="center" vertical="center"/>
    </xf>
    <xf numFmtId="0" fontId="12" fillId="5" borderId="35" xfId="0" applyFont="1" applyFill="1" applyBorder="1" applyAlignment="1">
      <alignment horizontal="center" vertical="center"/>
    </xf>
    <xf numFmtId="0" fontId="12" fillId="5" borderId="27" xfId="0" applyFont="1" applyFill="1" applyBorder="1" applyAlignment="1">
      <alignment horizontal="center" vertical="center"/>
    </xf>
    <xf numFmtId="0" fontId="12" fillId="5" borderId="36" xfId="0" applyFont="1" applyFill="1" applyBorder="1" applyAlignment="1">
      <alignment horizontal="center" vertical="center"/>
    </xf>
    <xf numFmtId="0" fontId="12" fillId="5" borderId="26" xfId="0" applyFont="1" applyFill="1" applyBorder="1" applyAlignment="1">
      <alignment horizontal="center" vertical="center"/>
    </xf>
    <xf numFmtId="0" fontId="12" fillId="5" borderId="28" xfId="0" applyFont="1" applyFill="1" applyBorder="1" applyAlignment="1">
      <alignment horizontal="center" vertical="center"/>
    </xf>
  </cellXfs>
  <cellStyles count="3">
    <cellStyle name="常规" xfId="0" builtinId="0"/>
    <cellStyle name="货币" xfId="1" builtinId="4"/>
    <cellStyle name="千位分隔" xfId="2"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5" Type="http://schemas.openxmlformats.org/officeDocument/2006/relationships/image" Target="../media/image3.png"/><Relationship Id="rId4" Type="http://schemas.microsoft.com/office/2007/relationships/hdphoto" Target="../media/hdphoto2.wdp"/></Relationships>
</file>

<file path=xl/drawings/drawing1.xml><?xml version="1.0" encoding="utf-8"?>
<xdr:wsDr xmlns:xdr="http://schemas.openxmlformats.org/drawingml/2006/spreadsheetDrawing" xmlns:a="http://schemas.openxmlformats.org/drawingml/2006/main">
  <xdr:twoCellAnchor>
    <xdr:from>
      <xdr:col>1</xdr:col>
      <xdr:colOff>22860</xdr:colOff>
      <xdr:row>0</xdr:row>
      <xdr:rowOff>91440</xdr:rowOff>
    </xdr:from>
    <xdr:to>
      <xdr:col>5</xdr:col>
      <xdr:colOff>944880</xdr:colOff>
      <xdr:row>3</xdr:row>
      <xdr:rowOff>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190500" y="91440"/>
          <a:ext cx="3817620"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2400" b="1">
              <a:solidFill>
                <a:srgbClr val="0070C0"/>
              </a:solidFill>
              <a:latin typeface="Calibri" panose="020F0502020204030204" pitchFamily="34" charset="0"/>
              <a:cs typeface="Calibri" panose="020F0502020204030204" pitchFamily="34" charset="0"/>
            </a:rPr>
            <a:t>Pool Heating Cost Calculator</a:t>
          </a:r>
        </a:p>
      </xdr:txBody>
    </xdr:sp>
    <xdr:clientData/>
  </xdr:twoCellAnchor>
  <xdr:oneCellAnchor>
    <xdr:from>
      <xdr:col>7</xdr:col>
      <xdr:colOff>1</xdr:colOff>
      <xdr:row>43</xdr:row>
      <xdr:rowOff>30480</xdr:rowOff>
    </xdr:from>
    <xdr:ext cx="7924799" cy="99822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288281" y="8046720"/>
          <a:ext cx="7924799" cy="9982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solidFill>
                <a:schemeClr val="accent4">
                  <a:lumMod val="50000"/>
                </a:schemeClr>
              </a:solidFill>
            </a:rPr>
            <a:t>The values indicated are valid under ideal conditions and for a standard basic domestic pool. Pool should be covered with an isothermal cover and the heater running for the required hours per day during the hottest part of the day. Waterfalls and other pool features will effect these figures. </a:t>
          </a:r>
        </a:p>
        <a:p>
          <a:endParaRPr lang="en-US" sz="1100">
            <a:solidFill>
              <a:schemeClr val="accent4">
                <a:lumMod val="50000"/>
              </a:schemeClr>
            </a:solidFill>
          </a:endParaRPr>
        </a:p>
        <a:p>
          <a:r>
            <a:rPr lang="en-US" sz="1100">
              <a:solidFill>
                <a:schemeClr val="accent4">
                  <a:lumMod val="50000"/>
                </a:schemeClr>
              </a:solidFill>
            </a:rPr>
            <a:t>The above data is subject to modification without notice</a:t>
          </a:r>
        </a:p>
      </xdr:txBody>
    </xdr:sp>
    <xdr:clientData/>
  </xdr:oneCellAnchor>
  <xdr:twoCellAnchor editAs="oneCell">
    <xdr:from>
      <xdr:col>7</xdr:col>
      <xdr:colOff>342900</xdr:colOff>
      <xdr:row>28</xdr:row>
      <xdr:rowOff>109394</xdr:rowOff>
    </xdr:from>
    <xdr:to>
      <xdr:col>9</xdr:col>
      <xdr:colOff>1152525</xdr:colOff>
      <xdr:row>40</xdr:row>
      <xdr:rowOff>46842</xdr:rowOff>
    </xdr:to>
    <xdr:pic>
      <xdr:nvPicPr>
        <xdr:cNvPr id="8" name="图片 7">
          <a:extLst>
            <a:ext uri="{FF2B5EF4-FFF2-40B4-BE49-F238E27FC236}">
              <a16:creationId xmlns:a16="http://schemas.microsoft.com/office/drawing/2014/main" id="{FFBBA83C-773C-B1C0-5744-2FF20C5A6AA8}"/>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824" b="95745" l="0" r="97106">
                      <a14:foregroundMark x1="94792" y1="8359" x2="94444" y2="12462"/>
                      <a14:foregroundMark x1="94329" y1="44377" x2="94676" y2="54255"/>
                      <a14:foregroundMark x1="91435" y1="52128" x2="94792" y2="84802"/>
                      <a14:foregroundMark x1="88773" y1="81307" x2="95139" y2="87842"/>
                    </a14:backgroundRemoval>
                  </a14:imgEffect>
                </a14:imgLayer>
              </a14:imgProps>
            </a:ext>
          </a:extLst>
        </a:blip>
        <a:stretch>
          <a:fillRect/>
        </a:stretch>
      </xdr:blipFill>
      <xdr:spPr>
        <a:xfrm>
          <a:off x="6210300" y="5110019"/>
          <a:ext cx="2619375" cy="1994848"/>
        </a:xfrm>
        <a:prstGeom prst="rect">
          <a:avLst/>
        </a:prstGeom>
      </xdr:spPr>
    </xdr:pic>
    <xdr:clientData/>
  </xdr:twoCellAnchor>
  <xdr:twoCellAnchor editAs="oneCell">
    <xdr:from>
      <xdr:col>11</xdr:col>
      <xdr:colOff>76200</xdr:colOff>
      <xdr:row>28</xdr:row>
      <xdr:rowOff>137193</xdr:rowOff>
    </xdr:from>
    <xdr:to>
      <xdr:col>13</xdr:col>
      <xdr:colOff>704849</xdr:colOff>
      <xdr:row>40</xdr:row>
      <xdr:rowOff>113420</xdr:rowOff>
    </xdr:to>
    <xdr:pic>
      <xdr:nvPicPr>
        <xdr:cNvPr id="9" name="图片 8">
          <a:extLst>
            <a:ext uri="{FF2B5EF4-FFF2-40B4-BE49-F238E27FC236}">
              <a16:creationId xmlns:a16="http://schemas.microsoft.com/office/drawing/2014/main" id="{32C59911-8E36-9A62-FEDE-CF29A917C6C1}"/>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2300" b="96211" l="5033" r="96179">
                      <a14:foregroundMark x1="76980" y1="10825" x2="85648" y2="6225"/>
                      <a14:foregroundMark x1="83877" y1="10014" x2="90587" y2="6766"/>
                      <a14:foregroundMark x1="91892" y1="13396" x2="93569" y2="23139"/>
                      <a14:foregroundMark x1="92544" y1="26252" x2="93663" y2="57510"/>
                      <a14:foregroundMark x1="7083" y1="59405" x2="7456" y2="76725"/>
                      <a14:backgroundMark x1="13048" y1="94046" x2="44828" y2="94858"/>
                      <a14:backgroundMark x1="43616" y1="94317" x2="95993" y2="94317"/>
                    </a14:backgroundRemoval>
                  </a14:imgEffect>
                </a14:imgLayer>
              </a14:imgProps>
            </a:ext>
          </a:extLst>
        </a:blip>
        <a:stretch>
          <a:fillRect/>
        </a:stretch>
      </xdr:blipFill>
      <xdr:spPr>
        <a:xfrm>
          <a:off x="10077450" y="5137818"/>
          <a:ext cx="2952749" cy="2033627"/>
        </a:xfrm>
        <a:prstGeom prst="rect">
          <a:avLst/>
        </a:prstGeom>
      </xdr:spPr>
    </xdr:pic>
    <xdr:clientData/>
  </xdr:twoCellAnchor>
  <xdr:twoCellAnchor editAs="oneCell">
    <xdr:from>
      <xdr:col>13</xdr:col>
      <xdr:colOff>152401</xdr:colOff>
      <xdr:row>0</xdr:row>
      <xdr:rowOff>142876</xdr:rowOff>
    </xdr:from>
    <xdr:to>
      <xdr:col>14</xdr:col>
      <xdr:colOff>1104901</xdr:colOff>
      <xdr:row>7</xdr:row>
      <xdr:rowOff>40083</xdr:rowOff>
    </xdr:to>
    <xdr:pic>
      <xdr:nvPicPr>
        <xdr:cNvPr id="10" name="图片 9">
          <a:extLst>
            <a:ext uri="{FF2B5EF4-FFF2-40B4-BE49-F238E27FC236}">
              <a16:creationId xmlns:a16="http://schemas.microsoft.com/office/drawing/2014/main" id="{BA695213-2159-3463-1AA8-3B62D7760624}"/>
            </a:ext>
          </a:extLst>
        </xdr:cNvPr>
        <xdr:cNvPicPr>
          <a:picLocks noChangeAspect="1"/>
        </xdr:cNvPicPr>
      </xdr:nvPicPr>
      <xdr:blipFill>
        <a:blip xmlns:r="http://schemas.openxmlformats.org/officeDocument/2006/relationships" r:embed="rId5"/>
        <a:stretch>
          <a:fillRect/>
        </a:stretch>
      </xdr:blipFill>
      <xdr:spPr>
        <a:xfrm>
          <a:off x="12477751" y="142876"/>
          <a:ext cx="2114550" cy="1087832"/>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pageSetUpPr autoPageBreaks="0" fitToPage="1"/>
  </sheetPr>
  <dimension ref="A6:T48"/>
  <sheetViews>
    <sheetView showGridLines="0" tabSelected="1" zoomScaleNormal="100" workbookViewId="0">
      <selection activeCell="S12" sqref="S12"/>
    </sheetView>
  </sheetViews>
  <sheetFormatPr defaultColWidth="8.875" defaultRowHeight="13.5" x14ac:dyDescent="0.15"/>
  <cols>
    <col min="1" max="2" width="2.375" style="1" customWidth="1"/>
    <col min="3" max="3" width="24.875" style="1" customWidth="1"/>
    <col min="4" max="4" width="8.875" style="1" customWidth="1"/>
    <col min="5" max="5" width="6" style="1" customWidth="1"/>
    <col min="6" max="6" width="20.25" style="1" customWidth="1"/>
    <col min="7" max="7" width="12.25" style="1" customWidth="1"/>
    <col min="8" max="8" width="10.625" style="1" customWidth="1"/>
    <col min="9" max="9" width="13.125" style="1" customWidth="1"/>
    <col min="10" max="15" width="15.25" style="1" customWidth="1"/>
    <col min="16" max="16" width="3.625" style="1" customWidth="1"/>
    <col min="17" max="19" width="8.875" style="1"/>
    <col min="20" max="20" width="2.875" style="1" customWidth="1"/>
    <col min="21" max="27" width="8.875" style="1"/>
    <col min="28" max="28" width="8.875" style="1" customWidth="1"/>
    <col min="29" max="29" width="27.875" style="1" bestFit="1" customWidth="1"/>
    <col min="30" max="30" width="23.625" style="1" bestFit="1" customWidth="1"/>
    <col min="31" max="16384" width="8.875" style="1"/>
  </cols>
  <sheetData>
    <row r="6" spans="2:15" ht="20.25" x14ac:dyDescent="0.25">
      <c r="B6" s="8" t="s">
        <v>0</v>
      </c>
      <c r="D6" s="4"/>
      <c r="E6" s="4"/>
    </row>
    <row r="7" spans="2:15" ht="6" customHeight="1" x14ac:dyDescent="0.15"/>
    <row r="8" spans="2:15" ht="14.25" thickBot="1" x14ac:dyDescent="0.2">
      <c r="C8" s="2" t="s">
        <v>1</v>
      </c>
      <c r="D8" s="86" t="s">
        <v>76</v>
      </c>
      <c r="E8" s="87"/>
      <c r="K8" s="40" t="s">
        <v>3</v>
      </c>
      <c r="L8" s="40"/>
      <c r="M8" s="40" t="s">
        <v>4</v>
      </c>
      <c r="N8" s="40"/>
      <c r="O8" s="40" t="s">
        <v>5</v>
      </c>
    </row>
    <row r="9" spans="2:15" ht="6" customHeight="1" x14ac:dyDescent="0.15">
      <c r="C9" s="2"/>
      <c r="D9" s="2"/>
      <c r="E9" s="2"/>
      <c r="J9" s="100" t="s">
        <v>6</v>
      </c>
      <c r="K9" s="101"/>
      <c r="L9" s="101" t="s">
        <v>7</v>
      </c>
      <c r="M9" s="101"/>
      <c r="N9" s="101" t="s">
        <v>8</v>
      </c>
      <c r="O9" s="104"/>
    </row>
    <row r="10" spans="2:15" ht="14.25" thickBot="1" x14ac:dyDescent="0.2">
      <c r="C10" s="2" t="s">
        <v>9</v>
      </c>
      <c r="D10" s="2"/>
      <c r="E10" s="2"/>
      <c r="H10" s="11"/>
      <c r="I10" s="11"/>
      <c r="J10" s="102"/>
      <c r="K10" s="103"/>
      <c r="L10" s="103"/>
      <c r="M10" s="103"/>
      <c r="N10" s="103"/>
      <c r="O10" s="105"/>
    </row>
    <row r="11" spans="2:15" ht="14.25" x14ac:dyDescent="0.15">
      <c r="C11" s="5" t="s">
        <v>10</v>
      </c>
      <c r="D11" s="21">
        <v>8</v>
      </c>
      <c r="E11" s="6" t="s">
        <v>11</v>
      </c>
      <c r="H11" s="12" t="s">
        <v>12</v>
      </c>
      <c r="I11" s="16" t="s">
        <v>13</v>
      </c>
      <c r="J11" s="12" t="s">
        <v>14</v>
      </c>
      <c r="K11" s="41" t="s">
        <v>15</v>
      </c>
      <c r="L11" s="12" t="s">
        <v>14</v>
      </c>
      <c r="M11" s="41" t="s">
        <v>15</v>
      </c>
      <c r="N11" s="42" t="s">
        <v>14</v>
      </c>
      <c r="O11" s="41" t="s">
        <v>15</v>
      </c>
    </row>
    <row r="12" spans="2:15" x14ac:dyDescent="0.15">
      <c r="C12" s="5" t="s">
        <v>16</v>
      </c>
      <c r="D12" s="21">
        <v>6</v>
      </c>
      <c r="E12" s="6" t="s">
        <v>11</v>
      </c>
      <c r="H12" s="13" t="s">
        <v>17</v>
      </c>
      <c r="I12" s="89" t="s">
        <v>18</v>
      </c>
      <c r="J12" s="48">
        <f>K12*Lookup!$A$2</f>
        <v>41.413086000000007</v>
      </c>
      <c r="K12" s="31">
        <f>Calculations!$D17*Calculations!$C$10</f>
        <v>31.856220000000004</v>
      </c>
      <c r="L12" s="48">
        <f t="shared" ref="L12:L23" si="0">J12</f>
        <v>41.413086000000007</v>
      </c>
      <c r="M12" s="31">
        <f t="shared" ref="M12:M23" si="1">K12</f>
        <v>31.856220000000004</v>
      </c>
      <c r="N12" s="53">
        <f t="shared" ref="N12:N23" si="2">J12</f>
        <v>41.413086000000007</v>
      </c>
      <c r="O12" s="31">
        <f t="shared" ref="O12:O23" si="3">K12</f>
        <v>31.856220000000004</v>
      </c>
    </row>
    <row r="13" spans="2:15" x14ac:dyDescent="0.15">
      <c r="C13" s="5" t="s">
        <v>19</v>
      </c>
      <c r="D13" s="21">
        <v>1.2</v>
      </c>
      <c r="E13" s="6" t="s">
        <v>11</v>
      </c>
      <c r="H13" s="14" t="s">
        <v>20</v>
      </c>
      <c r="I13" s="90"/>
      <c r="J13" s="49">
        <f>K13*Lookup!$A$2</f>
        <v>37.405368000000003</v>
      </c>
      <c r="K13" s="32">
        <f>Calculations!$D18*Calculations!$C$10</f>
        <v>28.77336</v>
      </c>
      <c r="L13" s="49">
        <f t="shared" si="0"/>
        <v>37.405368000000003</v>
      </c>
      <c r="M13" s="32">
        <f t="shared" si="1"/>
        <v>28.77336</v>
      </c>
      <c r="N13" s="54">
        <f t="shared" si="2"/>
        <v>37.405368000000003</v>
      </c>
      <c r="O13" s="32">
        <f t="shared" si="3"/>
        <v>28.77336</v>
      </c>
    </row>
    <row r="14" spans="2:15" x14ac:dyDescent="0.15">
      <c r="C14" s="7"/>
      <c r="G14" s="6"/>
      <c r="H14" s="13" t="s">
        <v>21</v>
      </c>
      <c r="I14" s="91" t="s">
        <v>22</v>
      </c>
      <c r="J14" s="48">
        <f>K14*Lookup!$A$2</f>
        <v>96.630534000000011</v>
      </c>
      <c r="K14" s="31">
        <f>Calculations!$D19*Calculations!$C$10</f>
        <v>74.331180000000003</v>
      </c>
      <c r="L14" s="48">
        <f t="shared" si="0"/>
        <v>96.630534000000011</v>
      </c>
      <c r="M14" s="31">
        <f t="shared" si="1"/>
        <v>74.331180000000003</v>
      </c>
      <c r="N14" s="53">
        <f t="shared" si="2"/>
        <v>96.630534000000011</v>
      </c>
      <c r="O14" s="31">
        <f t="shared" si="3"/>
        <v>74.331180000000003</v>
      </c>
    </row>
    <row r="15" spans="2:15" x14ac:dyDescent="0.15">
      <c r="C15" s="9" t="s">
        <v>23</v>
      </c>
      <c r="D15" s="28">
        <f>D11*D12*D13*1000</f>
        <v>57599.999999999993</v>
      </c>
      <c r="E15" s="6" t="s">
        <v>24</v>
      </c>
      <c r="H15" s="15" t="s">
        <v>25</v>
      </c>
      <c r="I15" s="92"/>
      <c r="J15" s="50">
        <f>K15*Lookup!$A$2</f>
        <v>93.513420000000011</v>
      </c>
      <c r="K15" s="33">
        <f>Calculations!$D20*Calculations!$C$10</f>
        <v>71.933400000000006</v>
      </c>
      <c r="L15" s="50">
        <f t="shared" si="0"/>
        <v>93.513420000000011</v>
      </c>
      <c r="M15" s="33">
        <f t="shared" si="1"/>
        <v>71.933400000000006</v>
      </c>
      <c r="N15" s="55"/>
      <c r="O15" s="19"/>
    </row>
    <row r="16" spans="2:15" x14ac:dyDescent="0.15">
      <c r="C16" s="7"/>
      <c r="G16" s="6"/>
      <c r="H16" s="15" t="s">
        <v>26</v>
      </c>
      <c r="I16" s="92"/>
      <c r="J16" s="50">
        <f>K16*Lookup!$A$2</f>
        <v>96.630534000000011</v>
      </c>
      <c r="K16" s="33">
        <f>Calculations!$D21*Calculations!$C$10</f>
        <v>74.331180000000003</v>
      </c>
      <c r="L16" s="50">
        <f t="shared" si="0"/>
        <v>96.630534000000011</v>
      </c>
      <c r="M16" s="33">
        <f t="shared" si="1"/>
        <v>74.331180000000003</v>
      </c>
      <c r="N16" s="55"/>
      <c r="O16" s="19"/>
    </row>
    <row r="17" spans="2:20" x14ac:dyDescent="0.15">
      <c r="C17" s="2" t="s">
        <v>27</v>
      </c>
      <c r="D17" s="22">
        <v>32</v>
      </c>
      <c r="E17" s="2"/>
      <c r="H17" s="13" t="s">
        <v>28</v>
      </c>
      <c r="I17" s="91" t="s">
        <v>29</v>
      </c>
      <c r="J17" s="48">
        <f>K17*Lookup!$A$2</f>
        <v>146.94966000000002</v>
      </c>
      <c r="K17" s="31">
        <f>Calculations!$D22*Calculations!$C$10</f>
        <v>113.0382</v>
      </c>
      <c r="L17" s="48"/>
      <c r="M17" s="31"/>
      <c r="N17" s="56"/>
      <c r="O17" s="17"/>
    </row>
    <row r="18" spans="2:20" x14ac:dyDescent="0.15">
      <c r="C18" s="2"/>
      <c r="D18" s="2"/>
      <c r="E18" s="2"/>
      <c r="H18" s="15" t="s">
        <v>30</v>
      </c>
      <c r="I18" s="92"/>
      <c r="J18" s="50">
        <f>K18*Lookup!$A$2</f>
        <v>151.84798200000003</v>
      </c>
      <c r="K18" s="33">
        <f>Calculations!$D23*Calculations!$C$10</f>
        <v>116.80614000000001</v>
      </c>
      <c r="L18" s="51"/>
      <c r="M18" s="19"/>
      <c r="N18" s="55"/>
      <c r="O18" s="19"/>
    </row>
    <row r="19" spans="2:20" x14ac:dyDescent="0.15">
      <c r="C19" s="2" t="s">
        <v>31</v>
      </c>
      <c r="D19" s="22" t="s">
        <v>102</v>
      </c>
      <c r="E19" s="2"/>
      <c r="H19" s="14" t="s">
        <v>32</v>
      </c>
      <c r="I19" s="93"/>
      <c r="J19" s="49">
        <f>K19*Lookup!$A$2</f>
        <v>151.84798200000003</v>
      </c>
      <c r="K19" s="32">
        <f>Calculations!$D24*Calculations!$C$10</f>
        <v>116.80614000000001</v>
      </c>
      <c r="L19" s="52"/>
      <c r="M19" s="18"/>
      <c r="N19" s="57"/>
      <c r="O19" s="18"/>
      <c r="T19" s="40" t="s">
        <v>33</v>
      </c>
    </row>
    <row r="20" spans="2:20" x14ac:dyDescent="0.15">
      <c r="C20" s="2"/>
      <c r="D20" s="2"/>
      <c r="E20" s="2"/>
      <c r="H20" s="13" t="s">
        <v>34</v>
      </c>
      <c r="I20" s="89" t="s">
        <v>35</v>
      </c>
      <c r="J20" s="48">
        <f>K20*Lookup!$A$2</f>
        <v>93.513420000000011</v>
      </c>
      <c r="K20" s="31">
        <f>Calculations!$D25*Calculations!$C$10</f>
        <v>71.933400000000006</v>
      </c>
      <c r="L20" s="48">
        <f t="shared" si="0"/>
        <v>93.513420000000011</v>
      </c>
      <c r="M20" s="31">
        <f t="shared" si="1"/>
        <v>71.933400000000006</v>
      </c>
      <c r="N20" s="56"/>
      <c r="O20" s="17"/>
    </row>
    <row r="21" spans="2:20" x14ac:dyDescent="0.15">
      <c r="C21" s="2" t="s">
        <v>36</v>
      </c>
      <c r="D21" s="86" t="s">
        <v>59</v>
      </c>
      <c r="E21" s="88"/>
      <c r="F21" s="87"/>
      <c r="H21" s="15" t="s">
        <v>38</v>
      </c>
      <c r="I21" s="94"/>
      <c r="J21" s="50">
        <f>K21*Lookup!$A$2</f>
        <v>96.630534000000011</v>
      </c>
      <c r="K21" s="33">
        <f>Calculations!$D26*Calculations!$C$10</f>
        <v>74.331180000000003</v>
      </c>
      <c r="L21" s="50">
        <f t="shared" si="0"/>
        <v>96.630534000000011</v>
      </c>
      <c r="M21" s="33">
        <f t="shared" si="1"/>
        <v>74.331180000000003</v>
      </c>
      <c r="N21" s="58">
        <f t="shared" si="2"/>
        <v>96.630534000000011</v>
      </c>
      <c r="O21" s="33">
        <f t="shared" si="3"/>
        <v>74.331180000000003</v>
      </c>
    </row>
    <row r="22" spans="2:20" x14ac:dyDescent="0.15">
      <c r="C22" s="2"/>
      <c r="D22" s="2"/>
      <c r="E22" s="2"/>
      <c r="F22" s="2"/>
      <c r="H22" s="14" t="s">
        <v>39</v>
      </c>
      <c r="I22" s="95"/>
      <c r="J22" s="49">
        <f>K22*Lookup!$A$2</f>
        <v>93.513420000000011</v>
      </c>
      <c r="K22" s="32">
        <f>Calculations!$D27*Calculations!$C$10</f>
        <v>71.933400000000006</v>
      </c>
      <c r="L22" s="49">
        <f t="shared" si="0"/>
        <v>93.513420000000011</v>
      </c>
      <c r="M22" s="32">
        <f t="shared" si="1"/>
        <v>71.933400000000006</v>
      </c>
      <c r="N22" s="54">
        <f t="shared" si="2"/>
        <v>93.513420000000011</v>
      </c>
      <c r="O22" s="32">
        <f t="shared" si="3"/>
        <v>71.933400000000006</v>
      </c>
    </row>
    <row r="23" spans="2:20" ht="14.25" thickBot="1" x14ac:dyDescent="0.2">
      <c r="C23" s="2" t="s">
        <v>40</v>
      </c>
      <c r="D23" s="23">
        <v>30</v>
      </c>
      <c r="E23" s="6" t="s">
        <v>41</v>
      </c>
      <c r="H23" s="43" t="s">
        <v>42</v>
      </c>
      <c r="I23" s="44" t="s">
        <v>18</v>
      </c>
      <c r="J23" s="45">
        <f>K23*Lookup!$A$2</f>
        <v>41.413086000000007</v>
      </c>
      <c r="K23" s="46">
        <f>Calculations!$D28*Calculations!$C$10</f>
        <v>31.856220000000004</v>
      </c>
      <c r="L23" s="45">
        <f t="shared" si="0"/>
        <v>41.413086000000007</v>
      </c>
      <c r="M23" s="46">
        <f t="shared" si="1"/>
        <v>31.856220000000004</v>
      </c>
      <c r="N23" s="47">
        <f t="shared" si="2"/>
        <v>41.413086000000007</v>
      </c>
      <c r="O23" s="46">
        <f t="shared" si="3"/>
        <v>31.856220000000004</v>
      </c>
    </row>
    <row r="24" spans="2:20" x14ac:dyDescent="0.15">
      <c r="J24" s="20"/>
      <c r="K24" s="20"/>
      <c r="L24" s="20"/>
      <c r="M24" s="20"/>
      <c r="N24" s="20"/>
      <c r="O24" s="20"/>
    </row>
    <row r="25" spans="2:20" ht="19.5" thickBot="1" x14ac:dyDescent="0.2">
      <c r="H25" s="24" t="s">
        <v>43</v>
      </c>
    </row>
    <row r="26" spans="2:20" ht="21.6" customHeight="1" x14ac:dyDescent="0.15">
      <c r="H26" s="96" t="s">
        <v>44</v>
      </c>
      <c r="I26" s="97"/>
      <c r="J26" s="34">
        <f>SUM(J12:J23)</f>
        <v>1141.3090260000001</v>
      </c>
      <c r="K26" s="35">
        <f t="shared" ref="K26:O26" si="4">SUM(K12:K23)</f>
        <v>877.93002000000013</v>
      </c>
      <c r="L26" s="34">
        <f t="shared" si="4"/>
        <v>690.66340200000013</v>
      </c>
      <c r="M26" s="35">
        <f t="shared" si="4"/>
        <v>531.27954</v>
      </c>
      <c r="N26" s="36">
        <f t="shared" si="4"/>
        <v>407.00602800000001</v>
      </c>
      <c r="O26" s="35">
        <f t="shared" si="4"/>
        <v>313.08156000000002</v>
      </c>
    </row>
    <row r="27" spans="2:20" ht="21" thickBot="1" x14ac:dyDescent="0.3">
      <c r="B27" s="8" t="s">
        <v>45</v>
      </c>
      <c r="C27" s="25"/>
      <c r="D27" s="10"/>
      <c r="H27" s="98" t="s">
        <v>46</v>
      </c>
      <c r="I27" s="99"/>
      <c r="J27" s="37">
        <f>J26*Lookup!$B$2</f>
        <v>684.78541560000008</v>
      </c>
      <c r="K27" s="38">
        <f>K26*Lookup!$B$2</f>
        <v>526.75801200000001</v>
      </c>
      <c r="L27" s="37">
        <f>L26*Lookup!$B$2</f>
        <v>414.39804120000008</v>
      </c>
      <c r="M27" s="38">
        <f>M26*Lookup!$B$2</f>
        <v>318.76772399999999</v>
      </c>
      <c r="N27" s="39">
        <f>N26*Lookup!$B$2</f>
        <v>244.20361679999999</v>
      </c>
      <c r="O27" s="38">
        <f>O26*Lookup!$B$2</f>
        <v>187.84893600000001</v>
      </c>
    </row>
    <row r="28" spans="2:20" x14ac:dyDescent="0.15">
      <c r="C28" s="25" t="s">
        <v>47</v>
      </c>
    </row>
    <row r="29" spans="2:20" x14ac:dyDescent="0.15">
      <c r="C29" s="29" t="str">
        <f>Calculations!B31</f>
        <v>IVPR09</v>
      </c>
    </row>
    <row r="30" spans="2:20" x14ac:dyDescent="0.15">
      <c r="C30" s="29" t="str">
        <f>Calculations!B32</f>
        <v/>
      </c>
    </row>
    <row r="31" spans="2:20" x14ac:dyDescent="0.15">
      <c r="C31" s="29" t="str">
        <f>Calculations!B33</f>
        <v/>
      </c>
    </row>
    <row r="32" spans="2:20" x14ac:dyDescent="0.15">
      <c r="C32" s="29" t="str">
        <f>Calculations!B34</f>
        <v/>
      </c>
    </row>
    <row r="33" spans="1:5" x14ac:dyDescent="0.15">
      <c r="C33" s="29" t="str">
        <f>Calculations!B35</f>
        <v/>
      </c>
    </row>
    <row r="34" spans="1:5" x14ac:dyDescent="0.15">
      <c r="C34" s="9"/>
    </row>
    <row r="35" spans="1:5" x14ac:dyDescent="0.15">
      <c r="C35" s="25" t="s">
        <v>48</v>
      </c>
    </row>
    <row r="36" spans="1:5" ht="6" customHeight="1" x14ac:dyDescent="0.15">
      <c r="C36" s="2"/>
      <c r="D36" s="2"/>
      <c r="E36" s="2"/>
    </row>
    <row r="37" spans="1:5" x14ac:dyDescent="0.15">
      <c r="C37" s="27" t="s">
        <v>105</v>
      </c>
    </row>
    <row r="38" spans="1:5" x14ac:dyDescent="0.15">
      <c r="C38" s="25"/>
    </row>
    <row r="39" spans="1:5" ht="20.25" x14ac:dyDescent="0.25">
      <c r="B39" s="8" t="s">
        <v>50</v>
      </c>
    </row>
    <row r="40" spans="1:5" ht="14.25" x14ac:dyDescent="0.15">
      <c r="C40" s="3" t="s">
        <v>51</v>
      </c>
    </row>
    <row r="41" spans="1:5" ht="18.75" x14ac:dyDescent="0.25">
      <c r="C41" s="9" t="s">
        <v>52</v>
      </c>
      <c r="D41" s="30">
        <f>D42*Lookup!$B$2</f>
        <v>187.84893600000001</v>
      </c>
      <c r="E41" s="6" t="s">
        <v>53</v>
      </c>
    </row>
    <row r="42" spans="1:5" ht="18.75" x14ac:dyDescent="0.25">
      <c r="C42" s="9" t="s">
        <v>54</v>
      </c>
      <c r="D42" s="30">
        <f>INDEX(J26:O26,1,MATCH(Calculations!$C$6,J8:O8,0))*IF('Heat Pump Calculator'!$D$19="No",Lookup!$A$2,1)</f>
        <v>313.08156000000002</v>
      </c>
      <c r="E42" s="6" t="s">
        <v>53</v>
      </c>
    </row>
    <row r="47" spans="1:5" x14ac:dyDescent="0.15">
      <c r="A47" s="1" t="s">
        <v>55</v>
      </c>
    </row>
    <row r="48" spans="1:5" x14ac:dyDescent="0.15">
      <c r="A48" s="1" t="s">
        <v>56</v>
      </c>
    </row>
  </sheetData>
  <mergeCells count="11">
    <mergeCell ref="H26:I26"/>
    <mergeCell ref="H27:I27"/>
    <mergeCell ref="J9:K10"/>
    <mergeCell ref="L9:M10"/>
    <mergeCell ref="N9:O10"/>
    <mergeCell ref="D8:E8"/>
    <mergeCell ref="D21:F21"/>
    <mergeCell ref="I12:I13"/>
    <mergeCell ref="I14:I16"/>
    <mergeCell ref="I17:I19"/>
    <mergeCell ref="I20:I22"/>
  </mergeCells>
  <phoneticPr fontId="19" type="noConversion"/>
  <dataValidations count="3">
    <dataValidation type="whole" operator="greaterThan" allowBlank="1" showInputMessage="1" showErrorMessage="1" errorTitle="Data Entry Error" error="Please enter the cost as a number of cents per KW hour" sqref="D23" xr:uid="{00000000-0002-0000-0000-000000000000}">
      <formula1>0</formula1>
    </dataValidation>
    <dataValidation type="decimal" operator="greaterThan" allowBlank="1" showInputMessage="1" showErrorMessage="1" errorTitle="Data Entry Error" error="Please enter the number of metres as a number" sqref="D11:D13" xr:uid="{00000000-0002-0000-0000-000003000000}">
      <formula1>0</formula1>
    </dataValidation>
    <dataValidation type="list" operator="greaterThan" allowBlank="1" showInputMessage="1" showErrorMessage="1" errorTitle="Data Entry Error" error="Please select from the drop down list" sqref="D19" xr:uid="{00000000-0002-0000-0000-000005000000}">
      <formula1>"Yes, No"</formula1>
    </dataValidation>
  </dataValidations>
  <pageMargins left="0.25" right="0.25" top="0.4" bottom="0.33" header="0.3" footer="0.3"/>
  <pageSetup paperSize="9" scale="72" orientation="landscape"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errorTitle="Data Entry Error" error="Please select from the drop down list" xr:uid="{00000000-0002-0000-0000-000001000000}">
          <x14:formula1>
            <xm:f>Lookup!$D$2:$D$8</xm:f>
          </x14:formula1>
          <xm:sqref>D8:E8</xm:sqref>
        </x14:dataValidation>
        <x14:dataValidation type="list" allowBlank="1" showInputMessage="1" showErrorMessage="1" errorTitle="Data Entry Error" error="Please select from the drop down list" xr:uid="{00000000-0002-0000-0000-000002000000}">
          <x14:formula1>
            <xm:f>Lookup!$H$2:$H$4</xm:f>
          </x14:formula1>
          <xm:sqref>D21:F21</xm:sqref>
        </x14:dataValidation>
        <x14:dataValidation type="list" operator="greaterThan" allowBlank="1" showInputMessage="1" showErrorMessage="1" errorTitle="Data Entry Error" error="Please select from the drop down list" xr:uid="{00000000-0002-0000-0000-000004000000}">
          <x14:formula1>
            <xm:f>Lookup!$X$2:$X$9</xm:f>
          </x14:formula1>
          <xm:sqref>D17</xm:sqref>
        </x14:dataValidation>
        <x14:dataValidation type="list" allowBlank="1" showInputMessage="1" showErrorMessage="1" errorTitle="Data Entry Error" error="Please select from Drop Down List" xr:uid="{00000000-0002-0000-0000-000006000000}">
          <x14:formula1>
            <xm:f>Calculations!$B$39:$B$43</xm:f>
          </x14:formula1>
          <xm:sqref>C37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B33"/>
  <sheetViews>
    <sheetView showGridLines="0" topLeftCell="G1" workbookViewId="0">
      <selection activeCell="O4" sqref="O4"/>
    </sheetView>
  </sheetViews>
  <sheetFormatPr defaultColWidth="8.875" defaultRowHeight="13.5" x14ac:dyDescent="0.15"/>
  <cols>
    <col min="1" max="2" width="8.875" style="62"/>
    <col min="3" max="3" width="2.75" style="62" customWidth="1"/>
    <col min="4" max="4" width="15.75" style="62" customWidth="1"/>
    <col min="5" max="6" width="11.75" style="62" customWidth="1"/>
    <col min="7" max="7" width="3.875" style="62" customWidth="1"/>
    <col min="8" max="8" width="31.375" style="62" bestFit="1" customWidth="1"/>
    <col min="9" max="9" width="8.75" style="62" bestFit="1" customWidth="1"/>
    <col min="10" max="10" width="4.625" style="62" customWidth="1"/>
    <col min="11" max="11" width="15.25" style="62" customWidth="1"/>
    <col min="12" max="12" width="13.125" style="62" customWidth="1"/>
    <col min="13" max="16" width="11" style="62" customWidth="1"/>
    <col min="17" max="17" width="14.625" style="62" customWidth="1"/>
    <col min="18" max="18" width="11" style="62" customWidth="1"/>
    <col min="19" max="19" width="11" style="66" customWidth="1"/>
    <col min="20" max="20" width="3.875" style="62" customWidth="1"/>
    <col min="21" max="21" width="13.625" style="62" bestFit="1" customWidth="1"/>
    <col min="22" max="22" width="37.375" style="62" bestFit="1" customWidth="1"/>
    <col min="23" max="23" width="3.875" style="62" customWidth="1"/>
    <col min="24" max="24" width="13" style="62" customWidth="1"/>
    <col min="25" max="25" width="11.25" style="62" customWidth="1"/>
    <col min="26" max="26" width="3.75" style="62" customWidth="1"/>
    <col min="27" max="28" width="8.875" style="62"/>
    <col min="29" max="29" width="3.25" style="62" customWidth="1"/>
    <col min="30" max="16384" width="8.875" style="62"/>
  </cols>
  <sheetData>
    <row r="1" spans="1:28" ht="54" x14ac:dyDescent="0.15">
      <c r="A1" s="61" t="s">
        <v>60</v>
      </c>
      <c r="B1" s="61" t="s">
        <v>61</v>
      </c>
      <c r="D1" s="63" t="s">
        <v>62</v>
      </c>
      <c r="E1" s="61" t="s">
        <v>63</v>
      </c>
      <c r="F1" s="61" t="s">
        <v>64</v>
      </c>
      <c r="G1" s="64"/>
      <c r="H1" s="63" t="s">
        <v>65</v>
      </c>
      <c r="I1" s="63" t="s">
        <v>13</v>
      </c>
      <c r="K1" s="67" t="s">
        <v>66</v>
      </c>
      <c r="L1" s="68" t="s">
        <v>67</v>
      </c>
      <c r="M1" s="68" t="s">
        <v>3</v>
      </c>
      <c r="N1" s="68" t="s">
        <v>4</v>
      </c>
      <c r="O1" s="68" t="s">
        <v>5</v>
      </c>
      <c r="P1" s="68" t="s">
        <v>68</v>
      </c>
      <c r="Q1" s="68" t="s">
        <v>69</v>
      </c>
      <c r="R1" s="68" t="s">
        <v>70</v>
      </c>
      <c r="S1" s="69" t="s">
        <v>71</v>
      </c>
      <c r="T1" s="65"/>
      <c r="U1" s="63" t="s">
        <v>66</v>
      </c>
      <c r="V1" s="63" t="s">
        <v>72</v>
      </c>
      <c r="X1" s="61" t="s">
        <v>73</v>
      </c>
      <c r="Y1" s="61" t="s">
        <v>64</v>
      </c>
      <c r="AA1" s="61" t="s">
        <v>74</v>
      </c>
      <c r="AB1" s="61" t="s">
        <v>75</v>
      </c>
    </row>
    <row r="2" spans="1:28" x14ac:dyDescent="0.15">
      <c r="A2" s="62">
        <v>1.3</v>
      </c>
      <c r="B2" s="62">
        <v>0.6</v>
      </c>
      <c r="D2" s="62" t="s">
        <v>76</v>
      </c>
      <c r="E2" s="62">
        <v>1</v>
      </c>
      <c r="F2" s="62">
        <v>1</v>
      </c>
      <c r="H2" s="62" t="s">
        <v>59</v>
      </c>
      <c r="I2" s="62" t="s">
        <v>5</v>
      </c>
      <c r="K2" s="70" t="s">
        <v>107</v>
      </c>
      <c r="L2" s="71">
        <v>1.28</v>
      </c>
      <c r="M2" s="72">
        <v>0</v>
      </c>
      <c r="N2" s="72">
        <v>0</v>
      </c>
      <c r="O2" s="72">
        <v>0</v>
      </c>
      <c r="P2" s="73">
        <v>1</v>
      </c>
      <c r="Q2" s="74" t="b">
        <f>IF(Q1=TRUE,TRUE,Lookup!$K2=Calculations!$C$7)</f>
        <v>1</v>
      </c>
      <c r="R2" s="74">
        <f>COUNTIFS($Q$2:Q2,TRUE)</f>
        <v>1</v>
      </c>
      <c r="S2" s="75">
        <f t="shared" ref="S2:S10" si="0">IF(R2&lt;=1,1,P2*S1)</f>
        <v>1</v>
      </c>
      <c r="T2" s="65"/>
      <c r="U2" s="59" t="s">
        <v>107</v>
      </c>
      <c r="V2" s="65" t="s">
        <v>103</v>
      </c>
      <c r="X2" s="62">
        <v>25</v>
      </c>
      <c r="Y2" s="62">
        <v>0.9</v>
      </c>
      <c r="AA2" s="62" t="s">
        <v>17</v>
      </c>
      <c r="AB2" s="62">
        <v>3</v>
      </c>
    </row>
    <row r="3" spans="1:28" x14ac:dyDescent="0.15">
      <c r="D3" s="62" t="s">
        <v>2</v>
      </c>
      <c r="E3" s="62">
        <v>1</v>
      </c>
      <c r="F3" s="62">
        <v>1</v>
      </c>
      <c r="H3" s="62" t="s">
        <v>77</v>
      </c>
      <c r="I3" s="62" t="s">
        <v>4</v>
      </c>
      <c r="K3" s="76" t="s">
        <v>105</v>
      </c>
      <c r="L3" s="77">
        <v>1.73</v>
      </c>
      <c r="M3" s="78">
        <f>40000*12.5/12</f>
        <v>41666.666666666664</v>
      </c>
      <c r="N3" s="78">
        <f>56000*12.5/12</f>
        <v>58333.333333333336</v>
      </c>
      <c r="O3" s="78">
        <f>68000*12.5/12</f>
        <v>70833.333333333328</v>
      </c>
      <c r="P3" s="79">
        <v>0.6</v>
      </c>
      <c r="Q3" s="74" t="b">
        <f>IF(Q2=TRUE,TRUE,Lookup!$K3=Calculations!$C$7)</f>
        <v>1</v>
      </c>
      <c r="R3" s="74">
        <f>COUNTIFS($Q$2:Q3,TRUE)</f>
        <v>2</v>
      </c>
      <c r="S3" s="75">
        <f t="shared" si="0"/>
        <v>0.6</v>
      </c>
      <c r="T3" s="65"/>
      <c r="U3" s="59" t="s">
        <v>105</v>
      </c>
      <c r="V3" s="65" t="s">
        <v>113</v>
      </c>
      <c r="X3" s="62">
        <v>26</v>
      </c>
      <c r="Y3" s="62">
        <v>0.95</v>
      </c>
      <c r="AA3" s="62" t="s">
        <v>20</v>
      </c>
      <c r="AB3" s="62">
        <v>3</v>
      </c>
    </row>
    <row r="4" spans="1:28" x14ac:dyDescent="0.15">
      <c r="D4" s="62" t="s">
        <v>78</v>
      </c>
      <c r="E4" s="62">
        <v>1.1000000000000001</v>
      </c>
      <c r="F4" s="62">
        <v>1.1000000000000001</v>
      </c>
      <c r="H4" s="62" t="s">
        <v>37</v>
      </c>
      <c r="I4" s="62" t="s">
        <v>3</v>
      </c>
      <c r="K4" s="70" t="s">
        <v>106</v>
      </c>
      <c r="L4" s="71">
        <v>1.73</v>
      </c>
      <c r="M4" s="72">
        <f>40000*12.8/12</f>
        <v>42666.666666666664</v>
      </c>
      <c r="N4" s="72">
        <f>56000*12.8/12</f>
        <v>59733.333333333336</v>
      </c>
      <c r="O4" s="72">
        <f>68000*12.8/12</f>
        <v>72533.333333333328</v>
      </c>
      <c r="P4" s="73">
        <v>0.6</v>
      </c>
      <c r="Q4" s="74" t="b">
        <f>IF(Q3=TRUE,TRUE,Lookup!$K4=Calculations!$C$7)</f>
        <v>1</v>
      </c>
      <c r="R4" s="74">
        <f>COUNTIFS($Q$2:Q4,TRUE)</f>
        <v>3</v>
      </c>
      <c r="S4" s="75">
        <f t="shared" si="0"/>
        <v>0.36</v>
      </c>
      <c r="T4" s="65"/>
      <c r="U4" s="59" t="s">
        <v>106</v>
      </c>
      <c r="V4" s="65" t="s">
        <v>104</v>
      </c>
      <c r="X4" s="62">
        <v>27</v>
      </c>
      <c r="Y4" s="62">
        <v>1</v>
      </c>
      <c r="AA4" s="62" t="s">
        <v>79</v>
      </c>
      <c r="AB4" s="62">
        <v>7</v>
      </c>
    </row>
    <row r="5" spans="1:28" x14ac:dyDescent="0.15">
      <c r="D5" s="62" t="s">
        <v>80</v>
      </c>
      <c r="E5" s="62">
        <v>1.1000000000000001</v>
      </c>
      <c r="F5" s="62">
        <v>1.1000000000000001</v>
      </c>
      <c r="K5" s="76" t="s">
        <v>108</v>
      </c>
      <c r="L5" s="77">
        <v>2.2000000000000002</v>
      </c>
      <c r="M5" s="78">
        <f>M6*15/16</f>
        <v>65625</v>
      </c>
      <c r="N5" s="78">
        <f>N6*15/16</f>
        <v>90000</v>
      </c>
      <c r="O5" s="78">
        <f>O6*15/16</f>
        <v>105000</v>
      </c>
      <c r="P5" s="79">
        <v>0.6</v>
      </c>
      <c r="Q5" s="74" t="b">
        <f>IF(Q4=TRUE,TRUE,Lookup!$K5=Calculations!$C$7)</f>
        <v>1</v>
      </c>
      <c r="R5" s="74">
        <f>COUNTIFS($Q$2:Q5,TRUE)</f>
        <v>4</v>
      </c>
      <c r="S5" s="75">
        <f t="shared" si="0"/>
        <v>0.216</v>
      </c>
      <c r="T5" s="65"/>
      <c r="U5" s="59" t="s">
        <v>108</v>
      </c>
      <c r="V5" s="65" t="s">
        <v>114</v>
      </c>
      <c r="X5" s="62">
        <v>28</v>
      </c>
      <c r="Y5" s="62">
        <v>1</v>
      </c>
      <c r="AA5" s="62" t="s">
        <v>81</v>
      </c>
      <c r="AB5" s="62">
        <v>7</v>
      </c>
    </row>
    <row r="6" spans="1:28" x14ac:dyDescent="0.15">
      <c r="D6" s="62" t="s">
        <v>57</v>
      </c>
      <c r="E6" s="62">
        <v>1.1499999999999999</v>
      </c>
      <c r="F6" s="62">
        <v>1.1499999999999999</v>
      </c>
      <c r="K6" s="70" t="s">
        <v>109</v>
      </c>
      <c r="L6" s="71">
        <v>2.34</v>
      </c>
      <c r="M6" s="72">
        <v>70000</v>
      </c>
      <c r="N6" s="72">
        <v>96000</v>
      </c>
      <c r="O6" s="72">
        <v>112000</v>
      </c>
      <c r="P6" s="73">
        <v>0.6</v>
      </c>
      <c r="Q6" s="74" t="b">
        <f>IF(Q5=TRUE,TRUE,Lookup!$K6=Calculations!$C$7)</f>
        <v>1</v>
      </c>
      <c r="R6" s="74">
        <f>COUNTIFS($Q$2:Q6,TRUE)</f>
        <v>5</v>
      </c>
      <c r="S6" s="75">
        <f t="shared" si="0"/>
        <v>0.12959999999999999</v>
      </c>
      <c r="T6" s="65"/>
      <c r="U6" s="59" t="s">
        <v>109</v>
      </c>
      <c r="V6" s="65" t="s">
        <v>115</v>
      </c>
      <c r="X6" s="62">
        <v>29</v>
      </c>
      <c r="Y6" s="62">
        <v>1</v>
      </c>
      <c r="AA6" s="62" t="s">
        <v>26</v>
      </c>
      <c r="AB6" s="62">
        <v>7</v>
      </c>
    </row>
    <row r="7" spans="1:28" x14ac:dyDescent="0.15">
      <c r="D7" s="62" t="s">
        <v>82</v>
      </c>
      <c r="E7" s="62">
        <v>1.3</v>
      </c>
      <c r="F7" s="62">
        <v>1.3</v>
      </c>
      <c r="K7" s="76" t="s">
        <v>110</v>
      </c>
      <c r="L7" s="77">
        <v>2.6</v>
      </c>
      <c r="M7" s="78">
        <f>M6*17.3/16</f>
        <v>75687.5</v>
      </c>
      <c r="N7" s="78">
        <f>N6*17.3/16</f>
        <v>103800</v>
      </c>
      <c r="O7" s="78">
        <f>O6*17.3/16</f>
        <v>121100</v>
      </c>
      <c r="P7" s="79">
        <v>0.6</v>
      </c>
      <c r="Q7" s="74" t="b">
        <f>IF(Q6=TRUE,TRUE,Lookup!$K7=Calculations!$C$7)</f>
        <v>1</v>
      </c>
      <c r="R7" s="74">
        <f>COUNTIFS($Q$2:Q7,TRUE)</f>
        <v>6</v>
      </c>
      <c r="S7" s="75">
        <f t="shared" si="0"/>
        <v>7.7759999999999996E-2</v>
      </c>
      <c r="T7" s="65"/>
      <c r="U7" s="59" t="s">
        <v>110</v>
      </c>
      <c r="V7" s="65" t="s">
        <v>116</v>
      </c>
      <c r="X7" s="62">
        <v>30</v>
      </c>
      <c r="Y7" s="62">
        <v>1.05</v>
      </c>
      <c r="AA7" s="62" t="s">
        <v>83</v>
      </c>
      <c r="AB7" s="62">
        <v>11</v>
      </c>
    </row>
    <row r="8" spans="1:28" x14ac:dyDescent="0.15">
      <c r="D8" s="62" t="s">
        <v>84</v>
      </c>
      <c r="E8" s="62">
        <v>1.3</v>
      </c>
      <c r="F8" s="62">
        <v>1.3</v>
      </c>
      <c r="K8" s="70" t="s">
        <v>111</v>
      </c>
      <c r="L8" s="71">
        <v>3.3</v>
      </c>
      <c r="M8" s="72">
        <f>M9*20.4/27</f>
        <v>85000</v>
      </c>
      <c r="N8" s="72">
        <f>N9*20.4/27</f>
        <v>102000</v>
      </c>
      <c r="O8" s="72">
        <f>O9*20.4/27</f>
        <v>119000</v>
      </c>
      <c r="P8" s="73">
        <v>0.6</v>
      </c>
      <c r="Q8" s="74" t="b">
        <f>IF(Q7=TRUE,TRUE,Lookup!$K8=Calculations!$C$7)</f>
        <v>1</v>
      </c>
      <c r="R8" s="74">
        <f>COUNTIFS($Q$2:Q8,TRUE)</f>
        <v>7</v>
      </c>
      <c r="S8" s="75">
        <f t="shared" si="0"/>
        <v>4.6655999999999996E-2</v>
      </c>
      <c r="T8" s="65"/>
      <c r="U8" s="60" t="s">
        <v>111</v>
      </c>
      <c r="V8" s="65" t="s">
        <v>117</v>
      </c>
      <c r="X8" s="62">
        <v>31</v>
      </c>
      <c r="Y8" s="62">
        <v>1.1000000000000001</v>
      </c>
      <c r="AA8" s="62" t="s">
        <v>85</v>
      </c>
      <c r="AB8" s="62">
        <v>11</v>
      </c>
    </row>
    <row r="9" spans="1:28" x14ac:dyDescent="0.15">
      <c r="K9" s="76" t="s">
        <v>120</v>
      </c>
      <c r="L9" s="77">
        <v>3.8</v>
      </c>
      <c r="M9" s="78">
        <f>M10*27/36</f>
        <v>112500</v>
      </c>
      <c r="N9" s="78">
        <f>N10*27/36</f>
        <v>135000</v>
      </c>
      <c r="O9" s="78">
        <f>O10*27/36</f>
        <v>157500</v>
      </c>
      <c r="P9" s="79">
        <v>0.6</v>
      </c>
      <c r="Q9" s="74" t="b">
        <f>IF(Q8=TRUE,TRUE,Lookup!$K9=Calculations!$C$7)</f>
        <v>1</v>
      </c>
      <c r="R9" s="74">
        <f>COUNTIFS($Q$2:Q9,TRUE)</f>
        <v>8</v>
      </c>
      <c r="S9" s="75">
        <f t="shared" si="0"/>
        <v>2.7993599999999997E-2</v>
      </c>
      <c r="U9" s="60" t="s">
        <v>120</v>
      </c>
      <c r="V9" s="65" t="s">
        <v>118</v>
      </c>
      <c r="X9" s="62">
        <v>32</v>
      </c>
      <c r="Y9" s="62">
        <v>1.1000000000000001</v>
      </c>
      <c r="AA9" s="62" t="s">
        <v>32</v>
      </c>
      <c r="AB9" s="62">
        <v>11</v>
      </c>
    </row>
    <row r="10" spans="1:28" x14ac:dyDescent="0.15">
      <c r="K10" s="70" t="s">
        <v>112</v>
      </c>
      <c r="L10" s="71">
        <v>5.2</v>
      </c>
      <c r="M10" s="72">
        <v>150000</v>
      </c>
      <c r="N10" s="72">
        <v>180000</v>
      </c>
      <c r="O10" s="72">
        <v>210000</v>
      </c>
      <c r="P10" s="73">
        <v>0.5</v>
      </c>
      <c r="Q10" s="74" t="b">
        <f>IF(Q9=TRUE,TRUE,Lookup!$K10=Calculations!$C$7)</f>
        <v>1</v>
      </c>
      <c r="R10" s="74">
        <f>COUNTIFS($Q$2:Q10,TRUE)</f>
        <v>9</v>
      </c>
      <c r="S10" s="75">
        <f t="shared" si="0"/>
        <v>1.3996799999999998E-2</v>
      </c>
      <c r="U10" s="60" t="s">
        <v>112</v>
      </c>
      <c r="V10" s="65" t="s">
        <v>119</v>
      </c>
      <c r="AA10" s="62" t="s">
        <v>86</v>
      </c>
      <c r="AB10" s="62">
        <v>7</v>
      </c>
    </row>
    <row r="11" spans="1:28" x14ac:dyDescent="0.15">
      <c r="AA11" s="62" t="s">
        <v>38</v>
      </c>
      <c r="AB11" s="62">
        <v>7</v>
      </c>
    </row>
    <row r="12" spans="1:28" x14ac:dyDescent="0.15">
      <c r="AA12" s="62" t="s">
        <v>39</v>
      </c>
      <c r="AB12" s="62">
        <v>7</v>
      </c>
    </row>
    <row r="13" spans="1:28" x14ac:dyDescent="0.15">
      <c r="AA13" s="62" t="s">
        <v>42</v>
      </c>
      <c r="AB13" s="62">
        <v>3</v>
      </c>
    </row>
    <row r="31" spans="19:19" x14ac:dyDescent="0.15">
      <c r="S31" s="26"/>
    </row>
    <row r="32" spans="19:19" x14ac:dyDescent="0.15">
      <c r="S32" s="26"/>
    </row>
    <row r="33" spans="19:19" x14ac:dyDescent="0.15">
      <c r="S33" s="26"/>
    </row>
  </sheetData>
  <sortState xmlns:xlrd2="http://schemas.microsoft.com/office/spreadsheetml/2017/richdata2" ref="E2:E7">
    <sortCondition descending="1" ref="E2"/>
  </sortState>
  <phoneticPr fontId="19" type="noConversion"/>
  <dataValidations count="2">
    <dataValidation type="list" allowBlank="1" showInputMessage="1" showErrorMessage="1" sqref="U2:U1048576" xr:uid="{00000000-0002-0000-0200-000000000000}">
      <formula1>OFFSET($K$1,1,0,COUNTA($K:$K)-1,1)</formula1>
    </dataValidation>
    <dataValidation type="list" allowBlank="1" showInputMessage="1" showErrorMessage="1" errorTitle="Data Entry Error" error="Please select from drop down list" sqref="U2:U1048576" xr:uid="{00000000-0002-0000-0200-000001000000}">
      <formula1>OFFSET($K$1,1,0,COUNTA($K:$K)-1,1)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D43"/>
  <sheetViews>
    <sheetView showGridLines="0" topLeftCell="A4" workbookViewId="0">
      <selection activeCell="B51" sqref="B51"/>
    </sheetView>
  </sheetViews>
  <sheetFormatPr defaultColWidth="8.75" defaultRowHeight="13.5" x14ac:dyDescent="0.15"/>
  <cols>
    <col min="1" max="1" width="2.625" style="60" customWidth="1"/>
    <col min="2" max="2" width="38" style="60" customWidth="1"/>
    <col min="3" max="3" width="20.125" style="60" customWidth="1"/>
    <col min="4" max="4" width="16" style="60" bestFit="1" customWidth="1"/>
    <col min="5" max="16384" width="8.75" style="60"/>
  </cols>
  <sheetData>
    <row r="1" spans="1:4" ht="18.75" x14ac:dyDescent="0.15">
      <c r="A1" s="81" t="s">
        <v>87</v>
      </c>
    </row>
    <row r="3" spans="1:4" x14ac:dyDescent="0.15">
      <c r="A3" s="82">
        <v>1</v>
      </c>
      <c r="B3" s="82" t="s">
        <v>88</v>
      </c>
    </row>
    <row r="4" spans="1:4" x14ac:dyDescent="0.15">
      <c r="B4" s="60" t="s">
        <v>63</v>
      </c>
      <c r="C4" s="80">
        <f>INDEX(Lookup!E:E,MATCH('Heat Pump Calculator'!$D$8,Lookup!D:D,0))</f>
        <v>1</v>
      </c>
    </row>
    <row r="5" spans="1:4" x14ac:dyDescent="0.15">
      <c r="B5" s="60" t="s">
        <v>89</v>
      </c>
      <c r="C5" s="85">
        <f>'Heat Pump Calculator'!$D$15*C4</f>
        <v>57599.999999999993</v>
      </c>
      <c r="D5" s="60" t="s">
        <v>58</v>
      </c>
    </row>
    <row r="6" spans="1:4" x14ac:dyDescent="0.15">
      <c r="B6" s="60" t="s">
        <v>90</v>
      </c>
      <c r="C6" s="80" t="str">
        <f>INDEX(Lookup!I:I,MATCH('Heat Pump Calculator'!$D$21,Lookup!H:H,0))</f>
        <v>Solar</v>
      </c>
    </row>
    <row r="7" spans="1:4" x14ac:dyDescent="0.15">
      <c r="B7" s="60" t="s">
        <v>88</v>
      </c>
      <c r="C7" s="80" t="str">
        <f>INDEX(Lookup!$K$2:$K$10,MATCH(C5,INDEX(Lookup!$K$2:$S$10,0,MATCH(C6,Lookup!$K$1:$S$1,0)),1))</f>
        <v>9.0kw Model</v>
      </c>
    </row>
    <row r="8" spans="1:4" x14ac:dyDescent="0.15">
      <c r="B8" s="60" t="s">
        <v>91</v>
      </c>
      <c r="C8" s="80" t="str">
        <f>'Heat Pump Calculator'!$C$37</f>
        <v>12.5kW Model</v>
      </c>
    </row>
    <row r="9" spans="1:4" x14ac:dyDescent="0.15">
      <c r="B9" s="60" t="s">
        <v>92</v>
      </c>
      <c r="C9" s="80">
        <f>INDEX(Lookup!$L$2:$L$10,MATCH(IF(C8="None",C7,C8),Lookup!$K$2:$K$10,0))</f>
        <v>1.73</v>
      </c>
      <c r="D9" s="60" t="s">
        <v>93</v>
      </c>
    </row>
    <row r="10" spans="1:4" x14ac:dyDescent="0.15">
      <c r="B10" s="60" t="s">
        <v>94</v>
      </c>
      <c r="C10" s="83">
        <f>'Heat Pump Calculator'!$D$23*C9/100</f>
        <v>0.51900000000000002</v>
      </c>
    </row>
    <row r="11" spans="1:4" x14ac:dyDescent="0.15">
      <c r="B11" s="60" t="s">
        <v>95</v>
      </c>
      <c r="C11" s="80">
        <f>INDEX(Lookup!Y:Y,MATCH('Heat Pump Calculator'!$D$17,Lookup!X:X,0))</f>
        <v>1.1000000000000001</v>
      </c>
    </row>
    <row r="12" spans="1:4" x14ac:dyDescent="0.15">
      <c r="B12" s="60" t="s">
        <v>96</v>
      </c>
      <c r="C12" s="80">
        <f>INDEX(Lookup!F:F,MATCH('Heat Pump Calculator'!$D$8,Lookup!D:D,0))</f>
        <v>1</v>
      </c>
    </row>
    <row r="13" spans="1:4" x14ac:dyDescent="0.15">
      <c r="B13" s="60" t="s">
        <v>97</v>
      </c>
      <c r="C13" s="80">
        <f>IF('Heat Pump Calculator'!$C$37="None",1,INDEX(Lookup!S:S,MATCH('Heat Pump Calculator'!$C$37,Lookup!K:K,0)))</f>
        <v>0.6</v>
      </c>
    </row>
    <row r="15" spans="1:4" x14ac:dyDescent="0.15">
      <c r="A15" s="82">
        <v>2</v>
      </c>
      <c r="B15" s="82" t="s">
        <v>98</v>
      </c>
    </row>
    <row r="16" spans="1:4" x14ac:dyDescent="0.15">
      <c r="B16" s="60" t="s">
        <v>12</v>
      </c>
      <c r="C16" s="84" t="s">
        <v>98</v>
      </c>
      <c r="D16" s="60" t="s">
        <v>99</v>
      </c>
    </row>
    <row r="17" spans="1:4" x14ac:dyDescent="0.15">
      <c r="B17" s="60" t="s">
        <v>17</v>
      </c>
      <c r="C17" s="80">
        <f>INDEX(Lookup!AB:AB,MATCH(B17,Lookup!AA:AA,0))*Calculations!$C$11*Calculations!$C$12*Calculations!$C$13</f>
        <v>1.98</v>
      </c>
      <c r="D17" s="80">
        <f>C17*31</f>
        <v>61.38</v>
      </c>
    </row>
    <row r="18" spans="1:4" x14ac:dyDescent="0.15">
      <c r="B18" s="60" t="s">
        <v>20</v>
      </c>
      <c r="C18" s="80">
        <f>INDEX(Lookup!AB:AB,MATCH(B18,Lookup!AA:AA,0))*Calculations!$C$11*Calculations!$C$12*Calculations!$C$13</f>
        <v>1.98</v>
      </c>
      <c r="D18" s="80">
        <f>C18*28</f>
        <v>55.44</v>
      </c>
    </row>
    <row r="19" spans="1:4" x14ac:dyDescent="0.15">
      <c r="B19" s="60" t="s">
        <v>79</v>
      </c>
      <c r="C19" s="80">
        <f>INDEX(Lookup!AB:AB,MATCH(B19,Lookup!AA:AA,0))*Calculations!$C$11*Calculations!$C$12*Calculations!$C$13</f>
        <v>4.62</v>
      </c>
      <c r="D19" s="80">
        <f t="shared" ref="D19:D28" si="0">C19*31</f>
        <v>143.22</v>
      </c>
    </row>
    <row r="20" spans="1:4" x14ac:dyDescent="0.15">
      <c r="B20" s="60" t="s">
        <v>81</v>
      </c>
      <c r="C20" s="80">
        <f>INDEX(Lookup!AB:AB,MATCH(B20,Lookup!AA:AA,0))*Calculations!$C$11*Calculations!$C$12*Calculations!$C$13</f>
        <v>4.62</v>
      </c>
      <c r="D20" s="80">
        <f>C20*30</f>
        <v>138.6</v>
      </c>
    </row>
    <row r="21" spans="1:4" x14ac:dyDescent="0.15">
      <c r="B21" s="60" t="s">
        <v>26</v>
      </c>
      <c r="C21" s="80">
        <f>INDEX(Lookup!AB:AB,MATCH(B21,Lookup!AA:AA,0))*Calculations!$C$11*Calculations!$C$12*Calculations!$C$13</f>
        <v>4.62</v>
      </c>
      <c r="D21" s="80">
        <f t="shared" si="0"/>
        <v>143.22</v>
      </c>
    </row>
    <row r="22" spans="1:4" x14ac:dyDescent="0.15">
      <c r="B22" s="60" t="s">
        <v>83</v>
      </c>
      <c r="C22" s="80">
        <f>INDEX(Lookup!AB:AB,MATCH(B22,Lookup!AA:AA,0))*Calculations!$C$11*Calculations!$C$12*Calculations!$C$13</f>
        <v>7.2600000000000007</v>
      </c>
      <c r="D22" s="80">
        <f>C22*30</f>
        <v>217.8</v>
      </c>
    </row>
    <row r="23" spans="1:4" x14ac:dyDescent="0.15">
      <c r="B23" s="60" t="s">
        <v>85</v>
      </c>
      <c r="C23" s="80">
        <f>INDEX(Lookup!AB:AB,MATCH(B23,Lookup!AA:AA,0))*Calculations!$C$11*Calculations!$C$12*Calculations!$C$13</f>
        <v>7.2600000000000007</v>
      </c>
      <c r="D23" s="80">
        <f t="shared" si="0"/>
        <v>225.06000000000003</v>
      </c>
    </row>
    <row r="24" spans="1:4" x14ac:dyDescent="0.15">
      <c r="B24" s="60" t="s">
        <v>32</v>
      </c>
      <c r="C24" s="80">
        <f>INDEX(Lookup!AB:AB,MATCH(B24,Lookup!AA:AA,0))*Calculations!$C$11*Calculations!$C$12*Calculations!$C$13</f>
        <v>7.2600000000000007</v>
      </c>
      <c r="D24" s="80">
        <f t="shared" si="0"/>
        <v>225.06000000000003</v>
      </c>
    </row>
    <row r="25" spans="1:4" x14ac:dyDescent="0.15">
      <c r="B25" s="60" t="s">
        <v>86</v>
      </c>
      <c r="C25" s="80">
        <f>INDEX(Lookup!AB:AB,MATCH(B25,Lookup!AA:AA,0))*Calculations!$C$11*Calculations!$C$12*Calculations!$C$13</f>
        <v>4.62</v>
      </c>
      <c r="D25" s="80">
        <f>C25*30</f>
        <v>138.6</v>
      </c>
    </row>
    <row r="26" spans="1:4" x14ac:dyDescent="0.15">
      <c r="B26" s="60" t="s">
        <v>38</v>
      </c>
      <c r="C26" s="80">
        <f>INDEX(Lookup!AB:AB,MATCH(B26,Lookup!AA:AA,0))*Calculations!$C$11*Calculations!$C$12*Calculations!$C$13</f>
        <v>4.62</v>
      </c>
      <c r="D26" s="80">
        <f t="shared" si="0"/>
        <v>143.22</v>
      </c>
    </row>
    <row r="27" spans="1:4" x14ac:dyDescent="0.15">
      <c r="B27" s="60" t="s">
        <v>39</v>
      </c>
      <c r="C27" s="80">
        <f>INDEX(Lookup!AB:AB,MATCH(B27,Lookup!AA:AA,0))*Calculations!$C$11*Calculations!$C$12*Calculations!$C$13</f>
        <v>4.62</v>
      </c>
      <c r="D27" s="80">
        <f>C27*30</f>
        <v>138.6</v>
      </c>
    </row>
    <row r="28" spans="1:4" x14ac:dyDescent="0.15">
      <c r="B28" s="60" t="s">
        <v>42</v>
      </c>
      <c r="C28" s="80">
        <f>INDEX(Lookup!AB:AB,MATCH(B28,Lookup!AA:AA,0))*Calculations!$C$11*Calculations!$C$12*Calculations!$C$13</f>
        <v>1.98</v>
      </c>
      <c r="D28" s="80">
        <f t="shared" si="0"/>
        <v>61.38</v>
      </c>
    </row>
    <row r="30" spans="1:4" x14ac:dyDescent="0.15">
      <c r="A30" s="82">
        <v>3</v>
      </c>
      <c r="B30" s="82" t="s">
        <v>100</v>
      </c>
    </row>
    <row r="31" spans="1:4" x14ac:dyDescent="0.15">
      <c r="B31" s="80" t="str" cm="1">
        <f t="array" ref="B31">IF(COUNTIFS(Lookup!U:U,Calculations!$C$7)&gt;=C31,INDEX(Lookup!V:V,MATCH(Calculations!$C$7,Lookup!U:U,0)+C31-1),"")</f>
        <v>IVPR09</v>
      </c>
      <c r="C31" s="60">
        <v>1</v>
      </c>
    </row>
    <row r="32" spans="1:4" x14ac:dyDescent="0.15">
      <c r="B32" s="80" t="str" cm="1">
        <f t="array" ref="B32">IF(COUNTIFS(Lookup!U:U,Calculations!$C$7)&gt;=C32,INDEX(Lookup!V:V,MATCH(Calculations!$C$7,Lookup!U:U,0)+C32-1),"")</f>
        <v/>
      </c>
      <c r="C32" s="60">
        <v>2</v>
      </c>
    </row>
    <row r="33" spans="1:3" x14ac:dyDescent="0.15">
      <c r="B33" s="80" t="str" cm="1">
        <f t="array" ref="B33">IF(COUNTIFS(Lookup!U:U,Calculations!$C$7)&gt;=C33,INDEX(Lookup!V:V,MATCH(Calculations!$C$7,Lookup!U:U,0)+C33-1),"")</f>
        <v/>
      </c>
      <c r="C33" s="60">
        <v>3</v>
      </c>
    </row>
    <row r="34" spans="1:3" x14ac:dyDescent="0.15">
      <c r="B34" s="80" t="str" cm="1">
        <f t="array" ref="B34">IF(COUNTIFS(Lookup!U:U,Calculations!$C$7)&gt;=C34,INDEX(Lookup!V:V,MATCH(Calculations!$C$7,Lookup!U:U,0)+C34-1),"")</f>
        <v/>
      </c>
      <c r="C34" s="60">
        <v>4</v>
      </c>
    </row>
    <row r="35" spans="1:3" x14ac:dyDescent="0.15">
      <c r="B35" s="80" t="str" cm="1">
        <f t="array" ref="B35">IF(COUNTIFS(Lookup!U:U,Calculations!$C$7)&gt;=C35,INDEX(Lookup!V:V,MATCH(Calculations!$C$7,Lookup!U:U,0)+C35-1),"")</f>
        <v/>
      </c>
      <c r="C35" s="60">
        <v>5</v>
      </c>
    </row>
    <row r="38" spans="1:3" x14ac:dyDescent="0.15">
      <c r="A38" s="82">
        <v>4</v>
      </c>
      <c r="B38" s="82" t="s">
        <v>101</v>
      </c>
    </row>
    <row r="39" spans="1:3" x14ac:dyDescent="0.15">
      <c r="B39" s="60" t="s">
        <v>49</v>
      </c>
    </row>
    <row r="40" spans="1:3" x14ac:dyDescent="0.15">
      <c r="B40" s="80" t="str">
        <f>IFERROR(INDEX(Lookup!K:K,MATCH(C40,Lookup!R:R,0)),"")</f>
        <v>12.5kW Model</v>
      </c>
      <c r="C40" s="60">
        <v>2</v>
      </c>
    </row>
    <row r="41" spans="1:3" x14ac:dyDescent="0.15">
      <c r="B41" s="80" t="str">
        <f>IFERROR(INDEX(Lookup!K:K,MATCH(C41,Lookup!R:R,0)),"")</f>
        <v>12.8kW Model</v>
      </c>
      <c r="C41" s="60">
        <v>3</v>
      </c>
    </row>
    <row r="42" spans="1:3" x14ac:dyDescent="0.15">
      <c r="B42" s="80" t="str">
        <f>IFERROR(INDEX(Lookup!K:K,MATCH(C42,Lookup!R:R,0)),"")</f>
        <v>15.0kW Model</v>
      </c>
      <c r="C42" s="60">
        <v>4</v>
      </c>
    </row>
    <row r="43" spans="1:3" x14ac:dyDescent="0.15">
      <c r="B43" s="80" t="str">
        <f>IFERROR(INDEX(Lookup!K:K,MATCH(C43,Lookup!R:R,0)),"")</f>
        <v>16.0kW Model</v>
      </c>
      <c r="C43" s="60">
        <v>5</v>
      </c>
    </row>
  </sheetData>
  <phoneticPr fontId="19"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3</vt:i4>
      </vt:variant>
    </vt:vector>
  </HeadingPairs>
  <TitlesOfParts>
    <vt:vector size="3" baseType="lpstr">
      <vt:lpstr>Heat Pump Calculator</vt:lpstr>
      <vt:lpstr>Lookup</vt:lpstr>
      <vt:lpstr>Calculations</vt:lpstr>
    </vt:vector>
  </TitlesOfParts>
  <Manager/>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Grant Craig</dc:creator>
  <cp:keywords/>
  <dc:description/>
  <cp:lastModifiedBy>chz</cp:lastModifiedBy>
  <cp:revision/>
  <dcterms:created xsi:type="dcterms:W3CDTF">2023-07-10T22:04:06Z</dcterms:created>
  <dcterms:modified xsi:type="dcterms:W3CDTF">2023-07-19T02:24:50Z</dcterms:modified>
  <cp:category/>
  <cp:contentStatus/>
</cp:coreProperties>
</file>