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9040" windowHeight="16440"/>
  </bookViews>
  <sheets>
    <sheet name="Heat Pump Calculator" sheetId="3" r:id="rId1"/>
    <sheet name="Sheet1" sheetId="1" state="hidden" r:id="rId2"/>
    <sheet name="Lookup" sheetId="2" state="hidden" r:id="rId3"/>
    <sheet name="Calculations" sheetId="6" state="hidden" r:id="rId4"/>
    <sheet name="Sheet2" sheetId="7" state="hidden" r:id="rId5"/>
  </sheets>
  <definedNames>
    <definedName name="calCostPerHour">Calculations!$C$10</definedName>
    <definedName name="calLocationHoursFactor">Calculations!$C$12</definedName>
    <definedName name="calPoolCapacity">'Heat Pump Calculator'!$D$15</definedName>
    <definedName name="calPoolTempFactor">Calculations!$C$11</definedName>
    <definedName name="calPowerDraw">Calculations!$C$9</definedName>
    <definedName name="calRecomendedUnit">Calculations!$C$7</definedName>
    <definedName name="calSeason">Calculations!$C$6</definedName>
    <definedName name="calSelectedHeater">'Heat Pump Calculator'!$C$37</definedName>
    <definedName name="calUpgradeFactor">Calculations!$C$13</definedName>
    <definedName name="ddLocation">OFFSET(Lookup!$D$1,1,0,COUNTA(Lookup!$D:$D)-1,1)</definedName>
    <definedName name="ddSeasons">OFFSET(Lookup!$H$1,1,0,COUNTA(Lookup!$H:$H)-1,1)</definedName>
    <definedName name="ddTemp">OFFSET(Lookup!$X$1,1,0,COUNTA(Lookup!$X:$X)-1,1)</definedName>
    <definedName name="ddUpgradeHeaters">Calculations!$B$39:$B$43</definedName>
    <definedName name="InverterFactor">Lookup!$B$2</definedName>
    <definedName name="Location">Sheet1!$B$8:$B$8</definedName>
    <definedName name="NoCoverFactor">Lookup!$A$2</definedName>
    <definedName name="_xlnm.Print_Area" localSheetId="0">'Heat Pump Calculator'!$A$1:$P$49</definedName>
    <definedName name="txtLocation">'Heat Pump Calculator'!$D$8</definedName>
    <definedName name="txtPoolCover">'Heat Pump Calculator'!$D$19</definedName>
    <definedName name="txtPoolTemp">'Heat Pump Calculator'!$D$17</definedName>
    <definedName name="txtPowerCost">'Heat Pump Calculator'!$D$23</definedName>
    <definedName name="txtSeason">'Heat Pump Calculator'!$D$21</definedName>
  </definedNames>
  <calcPr calcId="145621"/>
  <fileRecoveryPr autoRecover="0"/>
</workbook>
</file>

<file path=xl/calcChain.xml><?xml version="1.0" encoding="utf-8"?>
<calcChain xmlns="http://schemas.openxmlformats.org/spreadsheetml/2006/main">
  <c r="C8" i="6" l="1"/>
  <c r="C12" i="6" l="1"/>
  <c r="C11" i="6"/>
  <c r="C6" i="6" l="1"/>
  <c r="C4" i="6"/>
  <c r="D15" i="3" l="1"/>
  <c r="C5" i="6" s="1"/>
  <c r="C7" i="6" s="1"/>
  <c r="C9" i="6" s="1"/>
  <c r="Q2" i="2" l="1"/>
  <c r="R2" i="2" s="1"/>
  <c r="B32" i="6"/>
  <c r="C30" i="3" s="1"/>
  <c r="B33" i="6"/>
  <c r="C31" i="3" s="1"/>
  <c r="B34" i="6"/>
  <c r="C32" i="3" s="1"/>
  <c r="B31" i="6"/>
  <c r="C29" i="3" s="1"/>
  <c r="B35" i="6"/>
  <c r="C33" i="3" s="1"/>
  <c r="C10" i="6"/>
  <c r="B18" i="1"/>
  <c r="Q3" i="2" l="1"/>
  <c r="Q4" i="2" s="1"/>
  <c r="Q5" i="2" s="1"/>
  <c r="Q6" i="2" s="1"/>
  <c r="Q7" i="2" s="1"/>
  <c r="Q8" i="2" s="1"/>
  <c r="S2" i="2"/>
  <c r="F41" i="1"/>
  <c r="F40" i="1"/>
  <c r="F39" i="1"/>
  <c r="F38" i="1"/>
  <c r="F37" i="1"/>
  <c r="F36" i="1"/>
  <c r="E41" i="1"/>
  <c r="E40" i="1"/>
  <c r="E39" i="1"/>
  <c r="E38" i="1"/>
  <c r="E37" i="1"/>
  <c r="E36" i="1"/>
  <c r="R8" i="2" l="1"/>
  <c r="R6" i="2"/>
  <c r="R3" i="2"/>
  <c r="S3" i="2" s="1"/>
  <c r="R5" i="2"/>
  <c r="R4" i="2"/>
  <c r="R7" i="2"/>
  <c r="P27" i="1"/>
  <c r="P26" i="1"/>
  <c r="P19" i="1"/>
  <c r="K27" i="1"/>
  <c r="K26" i="1"/>
  <c r="K25" i="1"/>
  <c r="K21" i="1"/>
  <c r="K20" i="1"/>
  <c r="K19" i="1"/>
  <c r="F24" i="1"/>
  <c r="F23" i="1"/>
  <c r="F22" i="1"/>
  <c r="F27" i="1"/>
  <c r="F26" i="1"/>
  <c r="F25" i="1"/>
  <c r="F21" i="1"/>
  <c r="F20" i="1"/>
  <c r="F19" i="1"/>
  <c r="B42" i="6" l="1"/>
  <c r="B40" i="6"/>
  <c r="B43" i="6"/>
  <c r="B41" i="6"/>
  <c r="S4" i="2"/>
  <c r="P28" i="1"/>
  <c r="O28" i="1" s="1"/>
  <c r="O27" i="1"/>
  <c r="O26" i="1"/>
  <c r="P18" i="1"/>
  <c r="O18" i="1" s="1"/>
  <c r="P17" i="1"/>
  <c r="O17" i="1" s="1"/>
  <c r="K28" i="1"/>
  <c r="J28" i="1" s="1"/>
  <c r="J27" i="1"/>
  <c r="J26" i="1"/>
  <c r="J25" i="1"/>
  <c r="J21" i="1"/>
  <c r="J20" i="1"/>
  <c r="J19" i="1"/>
  <c r="K18" i="1"/>
  <c r="J18" i="1" s="1"/>
  <c r="K17" i="1"/>
  <c r="J17" i="1" s="1"/>
  <c r="F28" i="1"/>
  <c r="E28" i="1" s="1"/>
  <c r="E26" i="1"/>
  <c r="E25" i="1"/>
  <c r="E24" i="1"/>
  <c r="E23" i="1"/>
  <c r="E22" i="1"/>
  <c r="E21" i="1"/>
  <c r="E20" i="1"/>
  <c r="E19" i="1"/>
  <c r="F18" i="1"/>
  <c r="E18" i="1" s="1"/>
  <c r="F17" i="1"/>
  <c r="E17" i="1" s="1"/>
  <c r="O19" i="1"/>
  <c r="E27" i="1"/>
  <c r="S5" i="2" l="1"/>
  <c r="S6" i="2" s="1"/>
  <c r="S7" i="2" s="1"/>
  <c r="S8" i="2" s="1"/>
  <c r="P29" i="1"/>
  <c r="P30" i="1" s="1"/>
  <c r="O30" i="1" s="1"/>
  <c r="K29" i="1"/>
  <c r="K30" i="1" s="1"/>
  <c r="J30" i="1" s="1"/>
  <c r="J29" i="1"/>
  <c r="O29" i="1"/>
  <c r="F29" i="1"/>
  <c r="A35" i="1"/>
  <c r="C13" i="6" l="1"/>
  <c r="E29" i="1"/>
  <c r="F30" i="1"/>
  <c r="E30" i="1" s="1"/>
  <c r="C17" i="6" l="1"/>
  <c r="D17" i="6" s="1"/>
  <c r="K12" i="3" s="1"/>
  <c r="C28" i="6"/>
  <c r="D28" i="6" s="1"/>
  <c r="K23" i="3" s="1"/>
  <c r="C22" i="6"/>
  <c r="D22" i="6" s="1"/>
  <c r="K17" i="3" s="1"/>
  <c r="J17" i="3" s="1"/>
  <c r="C27" i="6"/>
  <c r="D27" i="6" s="1"/>
  <c r="K22" i="3" s="1"/>
  <c r="C20" i="6"/>
  <c r="D20" i="6" s="1"/>
  <c r="K15" i="3" s="1"/>
  <c r="C18" i="6"/>
  <c r="D18" i="6" s="1"/>
  <c r="K13" i="3" s="1"/>
  <c r="C25" i="6"/>
  <c r="D25" i="6" s="1"/>
  <c r="K20" i="3" s="1"/>
  <c r="C23" i="6"/>
  <c r="D23" i="6" s="1"/>
  <c r="K18" i="3" s="1"/>
  <c r="J18" i="3" s="1"/>
  <c r="C19" i="6"/>
  <c r="D19" i="6" s="1"/>
  <c r="K14" i="3" s="1"/>
  <c r="C26" i="6"/>
  <c r="D26" i="6" s="1"/>
  <c r="K21" i="3" s="1"/>
  <c r="C21" i="6"/>
  <c r="D21" i="6" s="1"/>
  <c r="K16" i="3" s="1"/>
  <c r="C24" i="6"/>
  <c r="D24" i="6" s="1"/>
  <c r="K19" i="3" s="1"/>
  <c r="J19" i="3" s="1"/>
  <c r="O22" i="3" l="1"/>
  <c r="M22" i="3"/>
  <c r="J22" i="3"/>
  <c r="M16" i="3"/>
  <c r="J16" i="3"/>
  <c r="L16" i="3" s="1"/>
  <c r="J20" i="3"/>
  <c r="L20" i="3" s="1"/>
  <c r="M20" i="3"/>
  <c r="J21" i="3"/>
  <c r="O21" i="3"/>
  <c r="M21" i="3"/>
  <c r="M13" i="3"/>
  <c r="J13" i="3"/>
  <c r="O13" i="3"/>
  <c r="O23" i="3"/>
  <c r="M23" i="3"/>
  <c r="J23" i="3"/>
  <c r="J14" i="3"/>
  <c r="O14" i="3"/>
  <c r="M14" i="3"/>
  <c r="M15" i="3"/>
  <c r="J15" i="3"/>
  <c r="L15" i="3" s="1"/>
  <c r="M12" i="3"/>
  <c r="O12" i="3"/>
  <c r="J12" i="3"/>
  <c r="K26" i="3"/>
  <c r="K27" i="3" s="1"/>
  <c r="O26" i="3" l="1"/>
  <c r="N23" i="3"/>
  <c r="L23" i="3"/>
  <c r="L13" i="3"/>
  <c r="N13" i="3"/>
  <c r="N21" i="3"/>
  <c r="L21" i="3"/>
  <c r="L22" i="3"/>
  <c r="N22" i="3"/>
  <c r="M26" i="3"/>
  <c r="M27" i="3" s="1"/>
  <c r="N12" i="3"/>
  <c r="L12" i="3"/>
  <c r="J26" i="3"/>
  <c r="J27" i="3" s="1"/>
  <c r="N14" i="3"/>
  <c r="L14" i="3"/>
  <c r="O27" i="3" l="1"/>
  <c r="D42" i="3"/>
  <c r="D41" i="3" s="1"/>
  <c r="L26" i="3"/>
  <c r="L27" i="3" s="1"/>
  <c r="N26" i="3"/>
  <c r="N27" i="3" s="1"/>
</calcChain>
</file>

<file path=xl/sharedStrings.xml><?xml version="1.0" encoding="utf-8"?>
<sst xmlns="http://schemas.openxmlformats.org/spreadsheetml/2006/main" count="267" uniqueCount="140">
  <si>
    <t>Pool Dimensions</t>
  </si>
  <si>
    <t>Litres</t>
  </si>
  <si>
    <t>Desired Pool Temperature</t>
  </si>
  <si>
    <t>Select Heating Type Required</t>
  </si>
  <si>
    <t>Power Cost (cents per KW Hour)</t>
  </si>
  <si>
    <t>Perth</t>
  </si>
  <si>
    <t>Sydney</t>
  </si>
  <si>
    <t>Melbourne</t>
  </si>
  <si>
    <t>Brisbane</t>
  </si>
  <si>
    <t>Hobart</t>
  </si>
  <si>
    <t>Summer/Autumn/Spring (9 Months)</t>
  </si>
  <si>
    <t>All Year Round (12 Months)</t>
  </si>
  <si>
    <t>Average Length (m)</t>
  </si>
  <si>
    <t>Average Width (m)</t>
  </si>
  <si>
    <t>Average Depth (m)</t>
  </si>
  <si>
    <t>Pool Location</t>
  </si>
  <si>
    <t>No Cover</t>
  </si>
  <si>
    <t>With Cover</t>
  </si>
  <si>
    <t>Month</t>
  </si>
  <si>
    <t>Jan</t>
  </si>
  <si>
    <t>Feb</t>
  </si>
  <si>
    <t>March</t>
  </si>
  <si>
    <t>April</t>
  </si>
  <si>
    <t>May</t>
  </si>
  <si>
    <t>June</t>
  </si>
  <si>
    <t>July</t>
  </si>
  <si>
    <t>Aug</t>
  </si>
  <si>
    <t>Sept</t>
  </si>
  <si>
    <t>Oct</t>
  </si>
  <si>
    <t>Nov</t>
  </si>
  <si>
    <t>Dec</t>
  </si>
  <si>
    <t>Total Cost</t>
  </si>
  <si>
    <t>WINTER</t>
  </si>
  <si>
    <t>SUMMER</t>
  </si>
  <si>
    <t>AUTUMN</t>
  </si>
  <si>
    <t>SPRING</t>
  </si>
  <si>
    <t>Season</t>
  </si>
  <si>
    <t>FULL YEAR ROUND HEATING</t>
  </si>
  <si>
    <t>EXTENDED SWIMMING SEASON HEATING (9 MONTHS)</t>
  </si>
  <si>
    <t>Model Chosen - KW Power Draw</t>
  </si>
  <si>
    <t>Inverter Model</t>
  </si>
  <si>
    <t>SOLAR EQUIVALENT (6 MONTHS)</t>
  </si>
  <si>
    <t>Solar Equivalent (6 Months)</t>
  </si>
  <si>
    <t>Model size 9kw</t>
  </si>
  <si>
    <t>Model Size 16kw</t>
  </si>
  <si>
    <t>Heat Pump Size recommend</t>
  </si>
  <si>
    <t>Full Year Heating</t>
  </si>
  <si>
    <t xml:space="preserve">Extended Season </t>
  </si>
  <si>
    <t>Solar Equivalent</t>
  </si>
  <si>
    <t>Model sixe 12kw</t>
  </si>
  <si>
    <t>Model Size 14w</t>
  </si>
  <si>
    <t>Model Size 23kw</t>
  </si>
  <si>
    <t>Model size 30kw</t>
  </si>
  <si>
    <t>.</t>
  </si>
  <si>
    <t>Your Pool Capacity (Litres) is:</t>
  </si>
  <si>
    <t>Location</t>
  </si>
  <si>
    <t>Desired Heating Season</t>
  </si>
  <si>
    <t>Power Cost</t>
  </si>
  <si>
    <t>Average Length</t>
  </si>
  <si>
    <t>Average Width</t>
  </si>
  <si>
    <t>Average Depth</t>
  </si>
  <si>
    <t>(Metres)</t>
  </si>
  <si>
    <t>(Litres)</t>
  </si>
  <si>
    <t>(Cents per KW Hour - from your latest power bill)</t>
  </si>
  <si>
    <t>Your Location</t>
  </si>
  <si>
    <t>Heating Requirements</t>
  </si>
  <si>
    <t>Pool Temperature</t>
  </si>
  <si>
    <t>Calculations</t>
  </si>
  <si>
    <t>Cost Results</t>
  </si>
  <si>
    <t>Estimated Annual Cost</t>
  </si>
  <si>
    <t>With Inverter</t>
  </si>
  <si>
    <t>Without Inverter</t>
  </si>
  <si>
    <t>(Per Annum)</t>
  </si>
  <si>
    <t>Your Pool Capacity Is</t>
  </si>
  <si>
    <t>Pool Cover</t>
  </si>
  <si>
    <t>Yes</t>
  </si>
  <si>
    <t>Solar Equivalent ( 6 Mths)</t>
  </si>
  <si>
    <t>Extended Season (9 Mths)</t>
  </si>
  <si>
    <t>Full Year Heating (12 Mths)</t>
  </si>
  <si>
    <t>© 2017 Aquatight</t>
  </si>
  <si>
    <t>Developed by SolVu Consulting</t>
  </si>
  <si>
    <t>9kw Model</t>
  </si>
  <si>
    <t>12kw Model</t>
  </si>
  <si>
    <t>16kw Model</t>
  </si>
  <si>
    <t>23kw Model</t>
  </si>
  <si>
    <t>30kw Model</t>
  </si>
  <si>
    <t>Heater Models</t>
  </si>
  <si>
    <t>Kw PH Draw</t>
  </si>
  <si>
    <t>Litres Capacity Factor</t>
  </si>
  <si>
    <t>Hours Per Day Factor</t>
  </si>
  <si>
    <t>Recommended Heading Unit</t>
  </si>
  <si>
    <t>Pool Capacity Equivalent</t>
  </si>
  <si>
    <t>14kw Model</t>
  </si>
  <si>
    <t>Full Year</t>
  </si>
  <si>
    <t>Extended</t>
  </si>
  <si>
    <t>Solar</t>
  </si>
  <si>
    <t>Selected Season</t>
  </si>
  <si>
    <t>Draw Per Hour</t>
  </si>
  <si>
    <t>KW per Hour</t>
  </si>
  <si>
    <t>Heating Period</t>
  </si>
  <si>
    <t>Hours Per Day</t>
  </si>
  <si>
    <t>Pool Temp Factor</t>
  </si>
  <si>
    <t>Mar</t>
  </si>
  <si>
    <t>Apr</t>
  </si>
  <si>
    <t>Jun</t>
  </si>
  <si>
    <t>Jul</t>
  </si>
  <si>
    <t>Sep</t>
  </si>
  <si>
    <t>Months</t>
  </si>
  <si>
    <t>Hours Per Day Required</t>
  </si>
  <si>
    <t>Location Hours Factor</t>
  </si>
  <si>
    <t>Cost Per Hour</t>
  </si>
  <si>
    <t>Hours Per Month</t>
  </si>
  <si>
    <t>No Cover Factor</t>
  </si>
  <si>
    <t>Inverter Factor</t>
  </si>
  <si>
    <t>Standard Model</t>
  </si>
  <si>
    <t>Total Estimated Annual Running Cost</t>
  </si>
  <si>
    <t>Heating Factor</t>
  </si>
  <si>
    <t>Recommended or Greater</t>
  </si>
  <si>
    <t>Ranked</t>
  </si>
  <si>
    <t>Heating Hours Factor</t>
  </si>
  <si>
    <t>Heater Rating</t>
  </si>
  <si>
    <t>Model List</t>
  </si>
  <si>
    <t>Aquatight Saturn Inverter Model iX09</t>
  </si>
  <si>
    <t>Heater Capacity</t>
  </si>
  <si>
    <t>Recommended Heater</t>
  </si>
  <si>
    <t>Upgrade Heater To</t>
  </si>
  <si>
    <t>Selected Heater</t>
  </si>
  <si>
    <t>Upgraded Heaters</t>
  </si>
  <si>
    <t>None</t>
  </si>
  <si>
    <t>Upgrade Heater Factor</t>
  </si>
  <si>
    <t>Aquatight Saturn Inverter Model iX12</t>
  </si>
  <si>
    <t>Aquatight Saturn Inverter Model iX16</t>
  </si>
  <si>
    <t>Adelaide Hills</t>
  </si>
  <si>
    <t>Adelaide Metro</t>
  </si>
  <si>
    <t>Aquatight InverterMAX Silent 13</t>
  </si>
  <si>
    <t>Aquatight InverterMAX Silet 15</t>
  </si>
  <si>
    <t>Aquatight InverterMAX Silent 21</t>
  </si>
  <si>
    <t>Aquatight InverterMAX Silent 28</t>
  </si>
  <si>
    <t>36kw Model</t>
  </si>
  <si>
    <t>Aquatight InverterMAX Silent 36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</si>
</sst>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43" formatCode="_-* #,##0.00_-;\-* #,##0.00_-;_-* &quot;-&quot;??_-;_-@_-"/>
    <numFmt numFmtId="164" formatCode="0.0"/>
    <numFmt numFmtId="165" formatCode="_-* #,##0_-;\-* #,##0_-;_-* &quot;-&quot;??_-;_-@_-"/>
    <numFmt numFmtId="166" formatCode="&quot;$&quot;#,##0.00"/>
    <numFmt numFmtId="167" formatCode="_-&quot;$&quot;* #,##0_-;\-&quot;$&quot;* #,##0_-;_-&quot;$&quot;* &quot;-&quot;??_-;_-@_-"/>
  </numFmts>
  <fonts count="24" x14ac:knownFonts="1">
    <font>
      <sz val="11"/>
      <color theme="1"/>
      <name val="Calibri"/>
      <family val="2"/>
      <scheme val="minor"/>
    </font>
    <font>
      <sz val="11"/>
      <color theme="1"/>
      <name val="Calibri"/>
      <family val="2"/>
      <scheme val="minor"/>
    </font>
    <font>
      <b/>
      <u/>
      <sz val="12"/>
      <color theme="1"/>
      <name val="Calibri"/>
      <family val="2"/>
      <scheme val="minor"/>
    </font>
    <font>
      <b/>
      <u/>
      <sz val="14"/>
      <color theme="1"/>
      <name val="Calibri"/>
      <family val="2"/>
      <scheme val="minor"/>
    </font>
    <font>
      <b/>
      <sz val="12"/>
      <color theme="1"/>
      <name val="Calibri"/>
      <family val="2"/>
      <scheme val="minor"/>
    </font>
    <font>
      <sz val="16"/>
      <color theme="1"/>
      <name val="Calibri"/>
      <family val="2"/>
      <scheme val="minor"/>
    </font>
    <font>
      <b/>
      <sz val="11"/>
      <color theme="1"/>
      <name val="Calibri"/>
      <family val="2"/>
      <scheme val="minor"/>
    </font>
    <font>
      <sz val="11"/>
      <color rgb="FF002060"/>
      <name val="Calibri"/>
      <family val="2"/>
      <scheme val="minor"/>
    </font>
    <font>
      <sz val="11"/>
      <color rgb="FF0070C0"/>
      <name val="Calibri"/>
      <family val="2"/>
      <scheme val="minor"/>
    </font>
    <font>
      <b/>
      <sz val="11"/>
      <color rgb="FF0070C0"/>
      <name val="Calibri"/>
      <family val="2"/>
      <scheme val="minor"/>
    </font>
    <font>
      <b/>
      <sz val="12"/>
      <color rgb="FF0070C0"/>
      <name val="Calibri"/>
      <family val="2"/>
      <scheme val="minor"/>
    </font>
    <font>
      <b/>
      <sz val="14"/>
      <color rgb="FF0070C0"/>
      <name val="Calibri"/>
      <family val="2"/>
      <scheme val="minor"/>
    </font>
    <font>
      <i/>
      <sz val="9"/>
      <color rgb="FF0070C0"/>
      <name val="Calibri"/>
      <family val="2"/>
      <scheme val="minor"/>
    </font>
    <font>
      <b/>
      <sz val="16"/>
      <color theme="7" tint="-0.499984740745262"/>
      <name val="Calibri"/>
      <family val="2"/>
      <scheme val="minor"/>
    </font>
    <font>
      <b/>
      <sz val="12"/>
      <color theme="7" tint="-0.499984740745262"/>
      <name val="Calibri"/>
      <family val="2"/>
      <scheme val="minor"/>
    </font>
    <font>
      <b/>
      <sz val="14"/>
      <color theme="7" tint="-0.499984740745262"/>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11"/>
      <color rgb="FF002060"/>
      <name val="Calibri"/>
      <family val="2"/>
      <scheme val="minor"/>
    </font>
    <font>
      <b/>
      <sz val="14"/>
      <color rgb="FF002060"/>
      <name val="Calibri"/>
      <family val="2"/>
      <scheme val="minor"/>
    </font>
    <font>
      <b/>
      <u/>
      <sz val="11"/>
      <color rgb="FF0070C0"/>
      <name val="Calibri"/>
      <family val="2"/>
      <scheme val="minor"/>
    </font>
    <font>
      <sz val="11"/>
      <color rgb="FF1F497D"/>
      <name val="Calibri"/>
      <family val="2"/>
      <scheme val="minor"/>
    </font>
    <font>
      <sz val="11"/>
      <color theme="3" tint="0.79998168889431442"/>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249977111117893"/>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bgColor indexed="64"/>
      </patternFill>
    </fill>
    <fill>
      <patternFill patternType="solid">
        <fgColor rgb="FF0070C0"/>
        <bgColor indexed="64"/>
      </patternFill>
    </fill>
    <fill>
      <patternFill patternType="solid">
        <fgColor theme="7" tint="0.59999389629810485"/>
        <bgColor indexed="64"/>
      </patternFill>
    </fill>
  </fills>
  <borders count="37">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medium">
        <color rgb="FF002060"/>
      </left>
      <right style="thin">
        <color rgb="FF002060"/>
      </right>
      <top style="thin">
        <color rgb="FF002060"/>
      </top>
      <bottom/>
      <diagonal/>
    </border>
    <border>
      <left style="thin">
        <color rgb="FF002060"/>
      </left>
      <right style="medium">
        <color rgb="FF002060"/>
      </right>
      <top style="thin">
        <color rgb="FF002060"/>
      </top>
      <bottom/>
      <diagonal/>
    </border>
    <border>
      <left style="medium">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diagonal/>
    </border>
    <border>
      <left style="thin">
        <color rgb="FF002060"/>
      </left>
      <right style="medium">
        <color rgb="FF002060"/>
      </right>
      <top/>
      <bottom/>
      <diagonal/>
    </border>
    <border>
      <left style="medium">
        <color rgb="FF002060"/>
      </left>
      <right style="thin">
        <color rgb="FF002060"/>
      </right>
      <top style="medium">
        <color rgb="FF002060"/>
      </top>
      <bottom style="thin">
        <color rgb="FF002060"/>
      </bottom>
      <diagonal/>
    </border>
    <border>
      <left style="thin">
        <color rgb="FF002060"/>
      </left>
      <right/>
      <top style="medium">
        <color rgb="FF002060"/>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right style="thin">
        <color rgb="FF002060"/>
      </right>
      <top/>
      <bottom style="medium">
        <color rgb="FF002060"/>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right style="thin">
        <color rgb="FF002060"/>
      </right>
      <top style="medium">
        <color rgb="FF002060"/>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right style="thin">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right style="thin">
        <color rgb="FF002060"/>
      </right>
      <top style="thin">
        <color rgb="FF002060"/>
      </top>
      <bottom style="medium">
        <color rgb="FF002060"/>
      </bottom>
      <diagonal/>
    </border>
    <border>
      <left/>
      <right/>
      <top style="medium">
        <color rgb="FF002060"/>
      </top>
      <bottom/>
      <diagonal/>
    </border>
    <border>
      <left/>
      <right/>
      <top/>
      <bottom style="medium">
        <color rgb="FF00206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0" fillId="3" borderId="0" xfId="0" applyFill="1"/>
    <xf numFmtId="0" fontId="0" fillId="3" borderId="0" xfId="0" applyFill="1" applyAlignment="1">
      <alignment horizontal="center"/>
    </xf>
    <xf numFmtId="0" fontId="0" fillId="0" borderId="0" xfId="0" applyAlignment="1">
      <alignment horizontal="center"/>
    </xf>
    <xf numFmtId="0" fontId="0" fillId="4" borderId="0" xfId="0" applyFill="1" applyAlignment="1">
      <alignment horizontal="center"/>
    </xf>
    <xf numFmtId="0" fontId="0" fillId="5" borderId="0" xfId="0" applyFill="1"/>
    <xf numFmtId="0" fontId="0" fillId="4" borderId="0" xfId="0" applyFill="1"/>
    <xf numFmtId="0" fontId="0" fillId="6" borderId="0" xfId="0" applyFill="1"/>
    <xf numFmtId="44" fontId="0" fillId="0" borderId="0" xfId="1" applyFont="1" applyAlignment="1">
      <alignment horizontal="center"/>
    </xf>
    <xf numFmtId="44" fontId="0" fillId="4" borderId="0" xfId="1" applyFont="1" applyFill="1" applyAlignment="1">
      <alignment horizontal="center"/>
    </xf>
    <xf numFmtId="44" fontId="0" fillId="6" borderId="0" xfId="1" applyFont="1" applyFill="1" applyAlignment="1">
      <alignment horizontal="center"/>
    </xf>
    <xf numFmtId="44" fontId="0" fillId="5" borderId="0" xfId="1" applyFont="1" applyFill="1" applyAlignment="1">
      <alignment horizontal="center"/>
    </xf>
    <xf numFmtId="0" fontId="2" fillId="0" borderId="0" xfId="0" applyFont="1"/>
    <xf numFmtId="0" fontId="3" fillId="0" borderId="0" xfId="0" applyFont="1"/>
    <xf numFmtId="0" fontId="4" fillId="0" borderId="0" xfId="0" applyFont="1"/>
    <xf numFmtId="44" fontId="4" fillId="0" borderId="0" xfId="1" applyNumberFormat="1" applyFont="1" applyAlignment="1">
      <alignment horizontal="center"/>
    </xf>
    <xf numFmtId="44" fontId="4" fillId="0" borderId="0" xfId="1" applyFont="1" applyAlignment="1">
      <alignment horizontal="center"/>
    </xf>
    <xf numFmtId="3" fontId="0" fillId="0" borderId="0" xfId="0" applyNumberFormat="1" applyAlignment="1">
      <alignment horizontal="center"/>
    </xf>
    <xf numFmtId="0" fontId="5" fillId="4" borderId="0" xfId="0" applyFont="1" applyFill="1" applyAlignment="1">
      <alignment horizontal="left"/>
    </xf>
    <xf numFmtId="0" fontId="0" fillId="2" borderId="0" xfId="0" applyFill="1" applyAlignment="1" applyProtection="1">
      <alignment horizontal="center"/>
      <protection locked="0"/>
    </xf>
    <xf numFmtId="0" fontId="8" fillId="7" borderId="0" xfId="0" applyFont="1" applyFill="1"/>
    <xf numFmtId="0" fontId="9" fillId="7" borderId="0" xfId="0" applyFont="1" applyFill="1"/>
    <xf numFmtId="0" fontId="10" fillId="7" borderId="0" xfId="0" applyFont="1" applyFill="1"/>
    <xf numFmtId="0" fontId="11" fillId="7" borderId="0" xfId="0" applyFont="1" applyFill="1"/>
    <xf numFmtId="0" fontId="7" fillId="0" borderId="0" xfId="0" applyFont="1"/>
    <xf numFmtId="0" fontId="8" fillId="7" borderId="0" xfId="0" applyFont="1" applyFill="1" applyAlignment="1">
      <alignment horizontal="left" indent="2"/>
    </xf>
    <xf numFmtId="0" fontId="12" fillId="7" borderId="0" xfId="0" applyFont="1" applyFill="1" applyAlignment="1">
      <alignment horizontal="left" indent="1"/>
    </xf>
    <xf numFmtId="0" fontId="9" fillId="7" borderId="0" xfId="0" applyFont="1" applyFill="1" applyAlignment="1">
      <alignment horizontal="left" indent="2"/>
    </xf>
    <xf numFmtId="0" fontId="8" fillId="7" borderId="0" xfId="0" applyFont="1" applyFill="1" applyBorder="1"/>
    <xf numFmtId="0" fontId="13" fillId="7" borderId="0" xfId="0" applyFont="1" applyFill="1"/>
    <xf numFmtId="0" fontId="8" fillId="7" borderId="0" xfId="0" applyFont="1" applyFill="1" applyAlignment="1">
      <alignment horizontal="left" indent="1"/>
    </xf>
    <xf numFmtId="0" fontId="9" fillId="7" borderId="0" xfId="0" applyFont="1" applyFill="1" applyAlignment="1">
      <alignment horizontal="left" indent="1"/>
    </xf>
    <xf numFmtId="0" fontId="8" fillId="7" borderId="0" xfId="0" applyFont="1" applyFill="1" applyAlignment="1">
      <alignment vertical="center"/>
    </xf>
    <xf numFmtId="0" fontId="16" fillId="9" borderId="17" xfId="0" applyFont="1" applyFill="1" applyBorder="1" applyAlignment="1">
      <alignment horizontal="left" vertical="center" indent="1"/>
    </xf>
    <xf numFmtId="0" fontId="9" fillId="7" borderId="11" xfId="0" applyFont="1" applyFill="1" applyBorder="1" applyAlignment="1">
      <alignment horizontal="left" vertical="center" indent="1"/>
    </xf>
    <xf numFmtId="0" fontId="9" fillId="7" borderId="13" xfId="0" applyFont="1" applyFill="1" applyBorder="1" applyAlignment="1">
      <alignment horizontal="left" vertical="center" indent="1"/>
    </xf>
    <xf numFmtId="0" fontId="9" fillId="7" borderId="15" xfId="0" applyFont="1" applyFill="1" applyBorder="1" applyAlignment="1">
      <alignment horizontal="left" vertical="center" indent="1"/>
    </xf>
    <xf numFmtId="0" fontId="16" fillId="9" borderId="18" xfId="0" applyFont="1" applyFill="1" applyBorder="1" applyAlignment="1">
      <alignment horizontal="center" vertical="center"/>
    </xf>
    <xf numFmtId="0" fontId="19" fillId="0" borderId="0" xfId="0" applyFont="1"/>
    <xf numFmtId="0" fontId="20" fillId="0" borderId="0" xfId="0" applyFont="1"/>
    <xf numFmtId="165" fontId="7" fillId="0" borderId="0" xfId="2" applyNumberFormat="1" applyFont="1"/>
    <xf numFmtId="0" fontId="18" fillId="8" borderId="0" xfId="0" applyFont="1" applyFill="1" applyAlignment="1">
      <alignment wrapText="1"/>
    </xf>
    <xf numFmtId="0" fontId="7" fillId="0" borderId="0" xfId="0" applyFont="1" applyAlignment="1">
      <alignment horizontal="right"/>
    </xf>
    <xf numFmtId="0" fontId="17" fillId="8" borderId="0" xfId="0" applyFont="1" applyFill="1"/>
    <xf numFmtId="0" fontId="17" fillId="8" borderId="0" xfId="0" applyFont="1" applyFill="1" applyAlignment="1">
      <alignment wrapText="1"/>
    </xf>
    <xf numFmtId="0" fontId="7" fillId="0" borderId="0" xfId="0" applyFont="1" applyAlignment="1">
      <alignment horizontal="right" wrapText="1"/>
    </xf>
    <xf numFmtId="167" fontId="8" fillId="7" borderId="12" xfId="1" applyNumberFormat="1" applyFont="1" applyFill="1" applyBorder="1" applyAlignment="1">
      <alignment horizontal="center"/>
    </xf>
    <xf numFmtId="167" fontId="8" fillId="7" borderId="14" xfId="1" applyNumberFormat="1" applyFont="1" applyFill="1" applyBorder="1" applyAlignment="1">
      <alignment horizontal="center"/>
    </xf>
    <xf numFmtId="167" fontId="8" fillId="7" borderId="16" xfId="1" applyNumberFormat="1" applyFont="1" applyFill="1" applyBorder="1" applyAlignment="1">
      <alignment horizontal="center"/>
    </xf>
    <xf numFmtId="167" fontId="8" fillId="7" borderId="0" xfId="0" applyNumberFormat="1" applyFont="1" applyFill="1"/>
    <xf numFmtId="164" fontId="8" fillId="0" borderId="1" xfId="2" applyNumberFormat="1" applyFont="1" applyFill="1" applyBorder="1" applyAlignment="1" applyProtection="1">
      <alignment horizontal="left" indent="2"/>
      <protection locked="0"/>
    </xf>
    <xf numFmtId="0" fontId="8" fillId="0" borderId="1" xfId="0" applyFont="1" applyFill="1" applyBorder="1" applyAlignment="1" applyProtection="1">
      <alignment horizontal="left" indent="2"/>
      <protection locked="0"/>
    </xf>
    <xf numFmtId="0" fontId="8" fillId="0" borderId="1" xfId="0" applyFont="1" applyFill="1" applyBorder="1" applyAlignment="1" applyProtection="1">
      <alignment horizontal="center"/>
      <protection locked="0"/>
    </xf>
    <xf numFmtId="0" fontId="15" fillId="7" borderId="0" xfId="0" applyFont="1" applyFill="1" applyAlignment="1">
      <alignment vertical="top"/>
    </xf>
    <xf numFmtId="0" fontId="21" fillId="7" borderId="0" xfId="0" applyFont="1" applyFill="1"/>
    <xf numFmtId="0" fontId="7" fillId="0" borderId="0" xfId="0" applyFont="1" applyAlignment="1"/>
    <xf numFmtId="43" fontId="7" fillId="0" borderId="0" xfId="2" applyNumberFormat="1" applyFont="1"/>
    <xf numFmtId="2" fontId="18" fillId="8" borderId="0" xfId="0" applyNumberFormat="1" applyFont="1" applyFill="1" applyAlignment="1">
      <alignment wrapText="1"/>
    </xf>
    <xf numFmtId="2" fontId="7" fillId="0" borderId="0" xfId="0" applyNumberFormat="1" applyFont="1"/>
    <xf numFmtId="0" fontId="22" fillId="0" borderId="0" xfId="0" applyFont="1" applyAlignment="1">
      <alignment vertical="center"/>
    </xf>
    <xf numFmtId="0" fontId="22" fillId="0" borderId="0" xfId="0" applyFont="1"/>
    <xf numFmtId="164" fontId="8" fillId="0" borderId="1" xfId="2" applyNumberFormat="1" applyFont="1" applyFill="1" applyBorder="1" applyAlignment="1" applyProtection="1">
      <alignment horizontal="center"/>
      <protection locked="0"/>
    </xf>
    <xf numFmtId="165" fontId="9" fillId="7" borderId="0" xfId="2" applyNumberFormat="1" applyFont="1" applyFill="1" applyAlignment="1" applyProtection="1">
      <alignment horizontal="left"/>
      <protection hidden="1"/>
    </xf>
    <xf numFmtId="0" fontId="8" fillId="7" borderId="0" xfId="0" applyFont="1" applyFill="1" applyAlignment="1" applyProtection="1">
      <alignment horizontal="left" indent="1"/>
      <protection hidden="1"/>
    </xf>
    <xf numFmtId="6" fontId="15" fillId="7" borderId="0" xfId="1" applyNumberFormat="1" applyFont="1" applyFill="1" applyAlignment="1" applyProtection="1">
      <protection hidden="1"/>
    </xf>
    <xf numFmtId="165" fontId="7" fillId="10" borderId="0" xfId="2" applyNumberFormat="1" applyFont="1" applyFill="1" applyProtection="1">
      <protection hidden="1"/>
    </xf>
    <xf numFmtId="2" fontId="7" fillId="10" borderId="0" xfId="2" applyNumberFormat="1" applyFont="1" applyFill="1" applyProtection="1">
      <protection hidden="1"/>
    </xf>
    <xf numFmtId="0" fontId="7" fillId="0" borderId="0" xfId="0" applyFont="1" applyAlignment="1" applyProtection="1">
      <alignment horizontal="right"/>
      <protection hidden="1"/>
    </xf>
    <xf numFmtId="165" fontId="7" fillId="0" borderId="0" xfId="2" applyNumberFormat="1" applyFont="1" applyAlignment="1" applyProtection="1">
      <alignment horizontal="right"/>
      <protection hidden="1"/>
    </xf>
    <xf numFmtId="166" fontId="7" fillId="0" borderId="0" xfId="1" applyNumberFormat="1" applyFont="1" applyAlignment="1" applyProtection="1">
      <alignment horizontal="right"/>
      <protection hidden="1"/>
    </xf>
    <xf numFmtId="0" fontId="7" fillId="0" borderId="0" xfId="0" applyFont="1" applyProtection="1">
      <protection hidden="1"/>
    </xf>
    <xf numFmtId="167" fontId="8" fillId="7" borderId="12" xfId="1" applyNumberFormat="1" applyFont="1" applyFill="1" applyBorder="1" applyAlignment="1" applyProtection="1">
      <alignment horizontal="center"/>
      <protection hidden="1"/>
    </xf>
    <xf numFmtId="167" fontId="8" fillId="7" borderId="14" xfId="1" applyNumberFormat="1" applyFont="1" applyFill="1" applyBorder="1" applyAlignment="1" applyProtection="1">
      <alignment horizontal="center"/>
      <protection hidden="1"/>
    </xf>
    <xf numFmtId="167" fontId="8" fillId="7" borderId="16" xfId="1" applyNumberFormat="1" applyFont="1" applyFill="1" applyBorder="1" applyAlignment="1" applyProtection="1">
      <alignment horizontal="center"/>
      <protection hidden="1"/>
    </xf>
    <xf numFmtId="167" fontId="14" fillId="3" borderId="22" xfId="1" applyNumberFormat="1" applyFont="1" applyFill="1" applyBorder="1" applyAlignment="1" applyProtection="1">
      <alignment horizontal="center"/>
      <protection hidden="1"/>
    </xf>
    <xf numFmtId="167" fontId="14" fillId="3" borderId="23" xfId="1" applyNumberFormat="1" applyFont="1" applyFill="1" applyBorder="1" applyAlignment="1" applyProtection="1">
      <alignment horizontal="center"/>
      <protection hidden="1"/>
    </xf>
    <xf numFmtId="167" fontId="14" fillId="3" borderId="24" xfId="1" applyNumberFormat="1" applyFont="1" applyFill="1" applyBorder="1" applyAlignment="1" applyProtection="1">
      <alignment horizontal="center"/>
      <protection hidden="1"/>
    </xf>
    <xf numFmtId="167" fontId="14" fillId="3" borderId="19" xfId="1" applyNumberFormat="1" applyFont="1" applyFill="1" applyBorder="1" applyAlignment="1" applyProtection="1">
      <alignment horizontal="center"/>
      <protection hidden="1"/>
    </xf>
    <xf numFmtId="167" fontId="14" fillId="3" borderId="20" xfId="1" applyNumberFormat="1" applyFont="1" applyFill="1" applyBorder="1" applyAlignment="1" applyProtection="1">
      <alignment horizontal="center"/>
      <protection hidden="1"/>
    </xf>
    <xf numFmtId="167" fontId="14" fillId="3" borderId="21" xfId="1" applyNumberFormat="1" applyFont="1" applyFill="1" applyBorder="1" applyAlignment="1" applyProtection="1">
      <alignment horizontal="center"/>
      <protection hidden="1"/>
    </xf>
    <xf numFmtId="0" fontId="23" fillId="7" borderId="0" xfId="0" applyFont="1" applyFill="1"/>
    <xf numFmtId="0" fontId="16" fillId="9" borderId="29" xfId="0" applyFont="1" applyFill="1" applyBorder="1" applyAlignment="1">
      <alignment horizontal="left" vertical="center" indent="1"/>
    </xf>
    <xf numFmtId="0" fontId="16" fillId="9" borderId="30" xfId="0" applyFont="1" applyFill="1" applyBorder="1" applyAlignment="1">
      <alignment horizontal="left" vertical="center" indent="1"/>
    </xf>
    <xf numFmtId="0" fontId="9" fillId="7" borderId="31" xfId="0" applyFont="1" applyFill="1" applyBorder="1" applyAlignment="1">
      <alignment horizontal="left" vertical="center" indent="1"/>
    </xf>
    <xf numFmtId="0" fontId="9" fillId="7" borderId="32" xfId="0" applyFont="1" applyFill="1" applyBorder="1" applyAlignment="1">
      <alignment horizontal="center" vertical="center"/>
    </xf>
    <xf numFmtId="44" fontId="8" fillId="7" borderId="31" xfId="1" applyNumberFormat="1" applyFont="1" applyFill="1" applyBorder="1" applyAlignment="1" applyProtection="1">
      <alignment horizontal="center"/>
      <protection hidden="1"/>
    </xf>
    <xf numFmtId="167" fontId="8" fillId="7" borderId="33" xfId="1" applyNumberFormat="1" applyFont="1" applyFill="1" applyBorder="1" applyAlignment="1" applyProtection="1">
      <alignment horizontal="center"/>
      <protection hidden="1"/>
    </xf>
    <xf numFmtId="44" fontId="8" fillId="7" borderId="34" xfId="1" applyNumberFormat="1" applyFont="1" applyFill="1" applyBorder="1" applyAlignment="1" applyProtection="1">
      <alignment horizontal="center"/>
      <protection hidden="1"/>
    </xf>
    <xf numFmtId="167" fontId="8" fillId="7" borderId="11" xfId="1" applyNumberFormat="1" applyFont="1" applyFill="1" applyBorder="1" applyAlignment="1" applyProtection="1">
      <alignment horizontal="center"/>
      <protection hidden="1"/>
    </xf>
    <xf numFmtId="167" fontId="8" fillId="7" borderId="13" xfId="1" applyNumberFormat="1" applyFont="1" applyFill="1" applyBorder="1" applyAlignment="1" applyProtection="1">
      <alignment horizontal="center"/>
      <protection hidden="1"/>
    </xf>
    <xf numFmtId="167" fontId="8" fillId="7" borderId="15" xfId="1" applyNumberFormat="1" applyFont="1" applyFill="1" applyBorder="1" applyAlignment="1" applyProtection="1">
      <alignment horizontal="center"/>
      <protection hidden="1"/>
    </xf>
    <xf numFmtId="167" fontId="8" fillId="7" borderId="15" xfId="1" applyNumberFormat="1" applyFont="1" applyFill="1" applyBorder="1" applyAlignment="1">
      <alignment horizontal="center"/>
    </xf>
    <xf numFmtId="167" fontId="8" fillId="7" borderId="13" xfId="1" applyNumberFormat="1" applyFont="1" applyFill="1" applyBorder="1" applyAlignment="1">
      <alignment horizontal="center"/>
    </xf>
    <xf numFmtId="167" fontId="8" fillId="7" borderId="7" xfId="1" applyNumberFormat="1" applyFont="1" applyFill="1" applyBorder="1" applyAlignment="1" applyProtection="1">
      <alignment horizontal="center"/>
      <protection hidden="1"/>
    </xf>
    <xf numFmtId="167" fontId="8" fillId="7" borderId="10" xfId="1" applyNumberFormat="1" applyFont="1" applyFill="1" applyBorder="1" applyAlignment="1" applyProtection="1">
      <alignment horizontal="center"/>
      <protection hidden="1"/>
    </xf>
    <xf numFmtId="167" fontId="8" fillId="7" borderId="8" xfId="1" applyNumberFormat="1" applyFont="1" applyFill="1" applyBorder="1" applyAlignment="1">
      <alignment horizontal="center"/>
    </xf>
    <xf numFmtId="167" fontId="8" fillId="7" borderId="7" xfId="1" applyNumberFormat="1" applyFont="1" applyFill="1" applyBorder="1" applyAlignment="1">
      <alignment horizontal="center"/>
    </xf>
    <xf numFmtId="167" fontId="8" fillId="7" borderId="10" xfId="1" applyNumberFormat="1" applyFont="1" applyFill="1" applyBorder="1" applyAlignment="1">
      <alignment horizontal="center"/>
    </xf>
    <xf numFmtId="167" fontId="8" fillId="7" borderId="8" xfId="1" applyNumberFormat="1" applyFont="1" applyFill="1" applyBorder="1" applyAlignment="1" applyProtection="1">
      <alignment horizontal="center"/>
      <protection hidden="1"/>
    </xf>
    <xf numFmtId="0" fontId="8" fillId="0" borderId="3"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9" fillId="7" borderId="6"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14" xfId="0" applyFont="1" applyFill="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14" fillId="3" borderId="25" xfId="0" applyFont="1" applyFill="1" applyBorder="1" applyAlignment="1">
      <alignment horizontal="left" vertical="center" indent="1"/>
    </xf>
    <xf numFmtId="0" fontId="14" fillId="3" borderId="26" xfId="0" applyFont="1" applyFill="1" applyBorder="1" applyAlignment="1">
      <alignment horizontal="left" vertical="center" indent="1"/>
    </xf>
    <xf numFmtId="0" fontId="14" fillId="3" borderId="27" xfId="0" applyFont="1" applyFill="1" applyBorder="1" applyAlignment="1">
      <alignment horizontal="left" vertical="center" indent="1"/>
    </xf>
    <xf numFmtId="0" fontId="0" fillId="3" borderId="28" xfId="0" applyFill="1" applyBorder="1" applyAlignment="1">
      <alignment horizontal="left" vertical="center" indent="1"/>
    </xf>
    <xf numFmtId="0" fontId="16" fillId="9" borderId="25" xfId="0" applyFont="1" applyFill="1" applyBorder="1" applyAlignment="1">
      <alignment horizontal="center" vertical="center"/>
    </xf>
    <xf numFmtId="0" fontId="16" fillId="9" borderId="35" xfId="0" applyFont="1" applyFill="1" applyBorder="1" applyAlignment="1">
      <alignment horizontal="center" vertical="center"/>
    </xf>
    <xf numFmtId="0" fontId="16" fillId="9" borderId="27" xfId="0" applyFont="1" applyFill="1" applyBorder="1" applyAlignment="1">
      <alignment horizontal="center" vertical="center"/>
    </xf>
    <xf numFmtId="0" fontId="16" fillId="9" borderId="36" xfId="0" applyFont="1" applyFill="1" applyBorder="1" applyAlignment="1">
      <alignment horizontal="center" vertical="center"/>
    </xf>
    <xf numFmtId="0" fontId="16" fillId="9" borderId="26" xfId="0" applyFont="1" applyFill="1" applyBorder="1" applyAlignment="1">
      <alignment horizontal="center" vertical="center"/>
    </xf>
    <xf numFmtId="0" fontId="16" fillId="9" borderId="28" xfId="0" applyFont="1" applyFill="1" applyBorder="1" applyAlignment="1">
      <alignment horizontal="center" vertical="center"/>
    </xf>
  </cellXfs>
  <cellStyles count="3">
    <cellStyle name="Comma" xfId="2" builtinId="3"/>
    <cellStyle name="Currency" xfId="1" builtinId="4"/>
    <cellStyle name="Normal" xfId="0" builtinId="0"/>
  </cellStyles>
  <dxfs count="26">
    <dxf>
      <font>
        <b val="0"/>
        <i val="0"/>
        <strike val="0"/>
        <condense val="0"/>
        <extend val="0"/>
        <outline val="0"/>
        <shadow val="0"/>
        <u val="none"/>
        <vertAlign val="baseline"/>
        <sz val="11"/>
        <color rgb="FF002060"/>
        <name val="Calibri"/>
        <scheme val="minor"/>
      </font>
      <numFmt numFmtId="2" formatCode="0.00"/>
      <fill>
        <patternFill patternType="solid">
          <fgColor indexed="64"/>
          <bgColor theme="7" tint="0.59999389629810485"/>
        </patternFill>
      </fill>
      <protection locked="1" hidden="1"/>
    </dxf>
    <dxf>
      <font>
        <b val="0"/>
        <i val="0"/>
        <strike val="0"/>
        <condense val="0"/>
        <extend val="0"/>
        <outline val="0"/>
        <shadow val="0"/>
        <u val="none"/>
        <vertAlign val="baseline"/>
        <sz val="11"/>
        <color rgb="FF002060"/>
        <name val="Calibri"/>
        <scheme val="minor"/>
      </font>
      <numFmt numFmtId="165" formatCode="_-* #,##0_-;\-* #,##0_-;_-* &quot;-&quot;??_-;_-@_-"/>
      <fill>
        <patternFill patternType="solid">
          <fgColor indexed="64"/>
          <bgColor theme="7" tint="0.59999389629810485"/>
        </patternFill>
      </fill>
      <protection locked="1" hidden="1"/>
    </dxf>
    <dxf>
      <font>
        <b val="0"/>
        <i val="0"/>
        <strike val="0"/>
        <condense val="0"/>
        <extend val="0"/>
        <outline val="0"/>
        <shadow val="0"/>
        <u val="none"/>
        <vertAlign val="baseline"/>
        <sz val="11"/>
        <color rgb="FF002060"/>
        <name val="Calibri"/>
        <scheme val="minor"/>
      </font>
      <numFmt numFmtId="165" formatCode="_-* #,##0_-;\-* #,##0_-;_-* &quot;-&quot;??_-;_-@_-"/>
      <fill>
        <patternFill patternType="solid">
          <fgColor indexed="64"/>
          <bgColor theme="7" tint="0.59999389629810485"/>
        </patternFill>
      </fill>
      <protection locked="1" hidden="1"/>
    </dxf>
    <dxf>
      <font>
        <b val="0"/>
        <i val="0"/>
        <strike val="0"/>
        <condense val="0"/>
        <extend val="0"/>
        <outline val="0"/>
        <shadow val="0"/>
        <u val="none"/>
        <vertAlign val="baseline"/>
        <sz val="11"/>
        <color rgb="FF002060"/>
        <name val="Calibri"/>
        <scheme val="minor"/>
      </font>
      <numFmt numFmtId="35" formatCode="_-* #,##0.00_-;\-* #,##0.00_-;_-* &quot;-&quot;??_-;_-@_-"/>
    </dxf>
    <dxf>
      <font>
        <b val="0"/>
        <i val="0"/>
        <strike val="0"/>
        <condense val="0"/>
        <extend val="0"/>
        <outline val="0"/>
        <shadow val="0"/>
        <u val="none"/>
        <vertAlign val="baseline"/>
        <sz val="11"/>
        <color rgb="FF002060"/>
        <name val="Calibri"/>
        <scheme val="minor"/>
      </font>
      <numFmt numFmtId="165" formatCode="_-* #,##0_-;\-* #,##0_-;_-* &quot;-&quot;??_-;_-@_-"/>
    </dxf>
    <dxf>
      <font>
        <b val="0"/>
        <i val="0"/>
        <strike val="0"/>
        <condense val="0"/>
        <extend val="0"/>
        <outline val="0"/>
        <shadow val="0"/>
        <u val="none"/>
        <vertAlign val="baseline"/>
        <sz val="11"/>
        <color rgb="FF002060"/>
        <name val="Calibri"/>
        <scheme val="minor"/>
      </font>
      <numFmt numFmtId="165" formatCode="_-* #,##0_-;\-* #,##0_-;_-* &quot;-&quot;??_-;_-@_-"/>
    </dxf>
    <dxf>
      <font>
        <b val="0"/>
        <i val="0"/>
        <strike val="0"/>
        <condense val="0"/>
        <extend val="0"/>
        <outline val="0"/>
        <shadow val="0"/>
        <u val="none"/>
        <vertAlign val="baseline"/>
        <sz val="11"/>
        <color rgb="FF002060"/>
        <name val="Calibri"/>
        <scheme val="minor"/>
      </font>
      <numFmt numFmtId="165" formatCode="_-* #,##0_-;\-* #,##0_-;_-* &quot;-&quot;??_-;_-@_-"/>
    </dxf>
    <dxf>
      <font>
        <b val="0"/>
        <i val="0"/>
        <strike val="0"/>
        <condense val="0"/>
        <extend val="0"/>
        <outline val="0"/>
        <shadow val="0"/>
        <u val="none"/>
        <vertAlign val="baseline"/>
        <sz val="11"/>
        <color rgb="FF002060"/>
        <name val="Calibri"/>
        <scheme val="minor"/>
      </font>
    </dxf>
    <dxf>
      <font>
        <b val="0"/>
        <i val="0"/>
        <strike val="0"/>
        <condense val="0"/>
        <extend val="0"/>
        <outline val="0"/>
        <shadow val="0"/>
        <u val="none"/>
        <vertAlign val="baseline"/>
        <sz val="11"/>
        <color rgb="FF002060"/>
        <name val="Calibri"/>
        <scheme val="minor"/>
      </font>
    </dxf>
    <dxf>
      <font>
        <b val="0"/>
        <i val="0"/>
        <strike val="0"/>
        <condense val="0"/>
        <extend val="0"/>
        <outline val="0"/>
        <shadow val="0"/>
        <u val="none"/>
        <vertAlign val="baseline"/>
        <sz val="11"/>
        <color rgb="FF002060"/>
        <name val="Calibri"/>
        <scheme val="minor"/>
      </font>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fill>
        <patternFill patternType="solid">
          <fgColor indexed="64"/>
          <bgColor rgb="FF00B0F0"/>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34" formatCode="_-&quot;$&quot;* #,##0.00_-;\-&quot;$&quot;* #,##0.00_-;_-&quot;$&quot;* &quot;-&quot;??_-;_-@_-"/>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34" formatCode="_-&quot;$&quot;* #,##0.00_-;\-&quot;$&quot;* #,##0.00_-;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34" formatCode="_-&quot;$&quot;* #,##0.00_-;\-&quot;$&quot;* #,##0.00_-;_-&quot;$&quot;* &quot;-&quot;??_-;_-@_-"/>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606798</xdr:colOff>
      <xdr:row>0</xdr:row>
      <xdr:rowOff>104775</xdr:rowOff>
    </xdr:from>
    <xdr:to>
      <xdr:col>15</xdr:col>
      <xdr:colOff>0</xdr:colOff>
      <xdr:row>6</xdr:row>
      <xdr:rowOff>0</xdr:rowOff>
    </xdr:to>
    <xdr:pic>
      <xdr:nvPicPr>
        <xdr:cNvPr id="2" name="Picture 1">
          <a:extLst>
            <a:ext uri="{FF2B5EF4-FFF2-40B4-BE49-F238E27FC236}">
              <a16:creationId xmlns:a16="http://schemas.microsoft.com/office/drawing/2014/main" xmlns="" id="{B2FEE33A-FC60-4DC2-8B76-49EB6B3A28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72818" y="104775"/>
          <a:ext cx="2547882" cy="1076325"/>
        </a:xfrm>
        <a:prstGeom prst="rect">
          <a:avLst/>
        </a:prstGeom>
        <a:ln>
          <a:solidFill>
            <a:srgbClr val="002060"/>
          </a:solidFill>
        </a:ln>
      </xdr:spPr>
    </xdr:pic>
    <xdr:clientData/>
  </xdr:twoCellAnchor>
  <xdr:twoCellAnchor>
    <xdr:from>
      <xdr:col>1</xdr:col>
      <xdr:colOff>22860</xdr:colOff>
      <xdr:row>0</xdr:row>
      <xdr:rowOff>91440</xdr:rowOff>
    </xdr:from>
    <xdr:to>
      <xdr:col>5</xdr:col>
      <xdr:colOff>944880</xdr:colOff>
      <xdr:row>3</xdr:row>
      <xdr:rowOff>0</xdr:rowOff>
    </xdr:to>
    <xdr:sp macro="" textlink="">
      <xdr:nvSpPr>
        <xdr:cNvPr id="3" name="TextBox 2">
          <a:extLst>
            <a:ext uri="{FF2B5EF4-FFF2-40B4-BE49-F238E27FC236}">
              <a16:creationId xmlns:a16="http://schemas.microsoft.com/office/drawing/2014/main" xmlns="" id="{36840B3C-D836-4A26-BBD5-A25E9E17028B}"/>
            </a:ext>
          </a:extLst>
        </xdr:cNvPr>
        <xdr:cNvSpPr txBox="1"/>
      </xdr:nvSpPr>
      <xdr:spPr>
        <a:xfrm>
          <a:off x="190500" y="91440"/>
          <a:ext cx="381762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b="1">
              <a:solidFill>
                <a:srgbClr val="0070C0"/>
              </a:solidFill>
              <a:latin typeface="Calibri" panose="020F0502020204030204" pitchFamily="34" charset="0"/>
              <a:cs typeface="Calibri" panose="020F0502020204030204" pitchFamily="34" charset="0"/>
            </a:rPr>
            <a:t>Pool Heating Cost Calculator</a:t>
          </a:r>
        </a:p>
      </xdr:txBody>
    </xdr:sp>
    <xdr:clientData/>
  </xdr:twoCellAnchor>
  <xdr:twoCellAnchor editAs="oneCell">
    <xdr:from>
      <xdr:col>7</xdr:col>
      <xdr:colOff>142876</xdr:colOff>
      <xdr:row>28</xdr:row>
      <xdr:rowOff>9525</xdr:rowOff>
    </xdr:from>
    <xdr:to>
      <xdr:col>10</xdr:col>
      <xdr:colOff>266700</xdr:colOff>
      <xdr:row>38</xdr:row>
      <xdr:rowOff>253413</xdr:rowOff>
    </xdr:to>
    <xdr:pic>
      <xdr:nvPicPr>
        <xdr:cNvPr id="6" name="Picture 5">
          <a:extLst>
            <a:ext uri="{FF2B5EF4-FFF2-40B4-BE49-F238E27FC236}">
              <a16:creationId xmlns:a16="http://schemas.microsoft.com/office/drawing/2014/main" xmlns="" id="{068286BB-4DD1-46DF-AF27-7FC2AB8B55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6376" y="5419725"/>
          <a:ext cx="2724149" cy="2034588"/>
        </a:xfrm>
        <a:prstGeom prst="rect">
          <a:avLst/>
        </a:prstGeom>
        <a:ln>
          <a:solidFill>
            <a:srgbClr val="002060"/>
          </a:solidFill>
        </a:ln>
      </xdr:spPr>
    </xdr:pic>
    <xdr:clientData/>
  </xdr:twoCellAnchor>
  <xdr:oneCellAnchor>
    <xdr:from>
      <xdr:col>7</xdr:col>
      <xdr:colOff>1</xdr:colOff>
      <xdr:row>43</xdr:row>
      <xdr:rowOff>30480</xdr:rowOff>
    </xdr:from>
    <xdr:ext cx="7924799" cy="998220"/>
    <xdr:sp macro="" textlink="">
      <xdr:nvSpPr>
        <xdr:cNvPr id="4" name="TextBox 3">
          <a:extLst>
            <a:ext uri="{FF2B5EF4-FFF2-40B4-BE49-F238E27FC236}">
              <a16:creationId xmlns:a16="http://schemas.microsoft.com/office/drawing/2014/main" xmlns="" id="{1CA22EEF-CE86-4499-BE59-0653BC5695F4}"/>
            </a:ext>
          </a:extLst>
        </xdr:cNvPr>
        <xdr:cNvSpPr txBox="1"/>
      </xdr:nvSpPr>
      <xdr:spPr>
        <a:xfrm>
          <a:off x="5288281" y="8046720"/>
          <a:ext cx="7924799" cy="998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accent4">
                  <a:lumMod val="50000"/>
                </a:schemeClr>
              </a:solidFill>
            </a:rPr>
            <a:t>The values indicated are valid under ideal conditions and for a standard basic domestic pool. Pool should be covered with an isothermal cover and the heater running for the required hours per day during the hottest part of the day. Waterfalls and other pool features will effect these figures. </a:t>
          </a:r>
        </a:p>
        <a:p>
          <a:endParaRPr lang="en-US" sz="1100">
            <a:solidFill>
              <a:schemeClr val="accent4">
                <a:lumMod val="50000"/>
              </a:schemeClr>
            </a:solidFill>
          </a:endParaRPr>
        </a:p>
        <a:p>
          <a:r>
            <a:rPr lang="en-US" sz="1100">
              <a:solidFill>
                <a:schemeClr val="accent4">
                  <a:lumMod val="50000"/>
                </a:schemeClr>
              </a:solidFill>
            </a:rPr>
            <a:t>The above data is subject to modification without notice</a:t>
          </a:r>
        </a:p>
      </xdr:txBody>
    </xdr:sp>
    <xdr:clientData/>
  </xdr:oneCellAnchor>
  <xdr:twoCellAnchor editAs="oneCell">
    <xdr:from>
      <xdr:col>10</xdr:col>
      <xdr:colOff>1019174</xdr:colOff>
      <xdr:row>28</xdr:row>
      <xdr:rowOff>38101</xdr:rowOff>
    </xdr:from>
    <xdr:to>
      <xdr:col>13</xdr:col>
      <xdr:colOff>304800</xdr:colOff>
      <xdr:row>39</xdr:row>
      <xdr:rowOff>43225</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762999" y="5448301"/>
          <a:ext cx="2343151" cy="2062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530487</xdr:colOff>
      <xdr:row>5</xdr:row>
      <xdr:rowOff>161925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92637" cy="1114425"/>
        </a:xfrm>
        <a:prstGeom prst="rect">
          <a:avLst/>
        </a:prstGeom>
      </xdr:spPr>
    </xdr:pic>
    <xdr:clientData/>
  </xdr:twoCellAnchor>
  <xdr:twoCellAnchor editAs="oneCell">
    <xdr:from>
      <xdr:col>21</xdr:col>
      <xdr:colOff>297179</xdr:colOff>
      <xdr:row>17</xdr:row>
      <xdr:rowOff>99060</xdr:rowOff>
    </xdr:from>
    <xdr:to>
      <xdr:col>26</xdr:col>
      <xdr:colOff>560069</xdr:colOff>
      <xdr:row>29</xdr:row>
      <xdr:rowOff>128588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3979" y="3268980"/>
          <a:ext cx="3310890" cy="2224088"/>
        </a:xfrm>
        <a:prstGeom prst="rect">
          <a:avLst/>
        </a:prstGeom>
      </xdr:spPr>
    </xdr:pic>
    <xdr:clientData/>
  </xdr:twoCellAnchor>
  <xdr:twoCellAnchor editAs="oneCell">
    <xdr:from>
      <xdr:col>19</xdr:col>
      <xdr:colOff>458729</xdr:colOff>
      <xdr:row>1</xdr:row>
      <xdr:rowOff>114300</xdr:rowOff>
    </xdr:from>
    <xdr:to>
      <xdr:col>25</xdr:col>
      <xdr:colOff>373379</xdr:colOff>
      <xdr:row>13</xdr:row>
      <xdr:rowOff>109585</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356329" y="297180"/>
          <a:ext cx="3572250" cy="2235565"/>
        </a:xfrm>
        <a:prstGeom prst="rect">
          <a:avLst/>
        </a:prstGeom>
      </xdr:spPr>
    </xdr:pic>
    <xdr:clientData/>
  </xdr:twoCellAnchor>
</xdr:wsDr>
</file>

<file path=xl/tables/table1.xml><?xml version="1.0" encoding="utf-8"?>
<table xmlns="http://schemas.openxmlformats.org/spreadsheetml/2006/main" id="1" name="Table1" displayName="Table1" ref="D16:G30" totalsRowShown="0">
  <autoFilter ref="D16:G30"/>
  <tableColumns count="4">
    <tableColumn id="3" name="Month"/>
    <tableColumn id="1" name="No Cover" dataDxfId="25" totalsRowDxfId="24" dataCellStyle="Currency">
      <calculatedColumnFormula>Table1[[#This Row],[With Cover]]*1.4</calculatedColumnFormula>
    </tableColumn>
    <tableColumn id="2" name="With Cover" dataDxfId="23" totalsRowDxfId="22" dataCellStyle="Currency">
      <calculatedColumnFormula>1.4*(B27/100)</calculatedColumnFormula>
    </tableColumn>
    <tableColumn id="4" name="Season"/>
  </tableColumns>
  <tableStyleInfo name="TableStyleLight16" showFirstColumn="0" showLastColumn="0" showRowStripes="1" showColumnStripes="0"/>
</table>
</file>

<file path=xl/tables/table2.xml><?xml version="1.0" encoding="utf-8"?>
<table xmlns="http://schemas.openxmlformats.org/spreadsheetml/2006/main" id="3" name="Table14" displayName="Table14" ref="I16:L30" totalsRowShown="0">
  <autoFilter ref="I16:L30"/>
  <tableColumns count="4">
    <tableColumn id="3" name="Month"/>
    <tableColumn id="1" name="No Cover" dataDxfId="21" totalsRowDxfId="20" dataCellStyle="Currency">
      <calculatedColumnFormula>Table14[[#This Row],[With Cover]]*1.4</calculatedColumnFormula>
    </tableColumn>
    <tableColumn id="2" name="With Cover" dataDxfId="19" dataCellStyle="Currency"/>
    <tableColumn id="4" name="Season"/>
  </tableColumns>
  <tableStyleInfo name="TableStyleLight16" showFirstColumn="0" showLastColumn="0" showRowStripes="1" showColumnStripes="0"/>
</table>
</file>

<file path=xl/tables/table3.xml><?xml version="1.0" encoding="utf-8"?>
<table xmlns="http://schemas.openxmlformats.org/spreadsheetml/2006/main" id="4" name="Table145" displayName="Table145" ref="N16:Q30" totalsRowShown="0">
  <autoFilter ref="N16:Q30"/>
  <tableColumns count="4">
    <tableColumn id="3" name="Month"/>
    <tableColumn id="1" name="No Cover" dataDxfId="18" totalsRowDxfId="17" dataCellStyle="Currency">
      <calculatedColumnFormula>Table145[[#This Row],[With Cover]]*1.4</calculatedColumnFormula>
    </tableColumn>
    <tableColumn id="2" name="With Cover" dataDxfId="16" dataCellStyle="Currency"/>
    <tableColumn id="4" name="Season"/>
  </tableColumns>
  <tableStyleInfo name="TableStyleLight16" showFirstColumn="0" showLastColumn="0" showRowStripes="1" showColumnStripes="0"/>
</table>
</file>

<file path=xl/tables/table4.xml><?xml version="1.0" encoding="utf-8"?>
<table xmlns="http://schemas.openxmlformats.org/spreadsheetml/2006/main" id="5" name="Table5" displayName="Table5" ref="B35:F41" totalsRowShown="0" headerRowDxfId="15">
  <autoFilter ref="B35:F41"/>
  <tableColumns count="5">
    <tableColumn id="1" name="Heat Pump Size recommend"/>
    <tableColumn id="2" name="." dataDxfId="14"/>
    <tableColumn id="3" name="Full Year Heating" dataDxfId="13"/>
    <tableColumn id="4" name="Extended Season " dataDxfId="12"/>
    <tableColumn id="5" name="Solar Equivalent" dataDxfId="11"/>
  </tableColumns>
  <tableStyleInfo name="TableStyleLight17" showFirstColumn="0" showLastColumn="0" showRowStripes="1" showColumnStripes="0"/>
</table>
</file>

<file path=xl/tables/table5.xml><?xml version="1.0" encoding="utf-8"?>
<table xmlns="http://schemas.openxmlformats.org/spreadsheetml/2006/main" id="6" name="HeaterModels" displayName="HeaterModels" ref="K1:S8" totalsRowShown="0" headerRowDxfId="10" dataDxfId="9" dataCellStyle="Comma">
  <autoFilter ref="K1:S8"/>
  <tableColumns count="9">
    <tableColumn id="1" name="Heater Rating" dataDxfId="8"/>
    <tableColumn id="2" name="Kw PH Draw" dataDxfId="7"/>
    <tableColumn id="3" name="Full Year" dataDxfId="6" dataCellStyle="Comma"/>
    <tableColumn id="4" name="Extended" dataDxfId="5" dataCellStyle="Comma"/>
    <tableColumn id="5" name="Solar" dataDxfId="4" dataCellStyle="Comma"/>
    <tableColumn id="6" name="Heating Factor" dataDxfId="3" dataCellStyle="Comma"/>
    <tableColumn id="7" name="Recommended or Greater" dataDxfId="2" dataCellStyle="Comma">
      <calculatedColumnFormula>IF(Q1=TRUE,TRUE,HeaterModels[[#This Row],[Heater Rating]]=calRecomendedUnit)</calculatedColumnFormula>
    </tableColumn>
    <tableColumn id="8" name="Ranked" dataDxfId="1" dataCellStyle="Comma">
      <calculatedColumnFormula>COUNTIFS($Q$2:Q2,TRUE)</calculatedColumnFormula>
    </tableColumn>
    <tableColumn id="9" name="Heating Hours Factor" dataDxfId="0" dataCellStyle="Comma">
      <calculatedColumnFormula>IF(R2&lt;=1,1,P2*S1)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autoPageBreaks="0" fitToPage="1"/>
  </sheetPr>
  <dimension ref="A6:T48"/>
  <sheetViews>
    <sheetView showGridLines="0" tabSelected="1" zoomScaleNormal="100" workbookViewId="0">
      <selection activeCell="D8" sqref="D8:E8"/>
    </sheetView>
  </sheetViews>
  <sheetFormatPr defaultColWidth="8.85546875" defaultRowHeight="15" x14ac:dyDescent="0.25"/>
  <cols>
    <col min="1" max="2" width="2.42578125" style="20" customWidth="1"/>
    <col min="3" max="3" width="24.85546875" style="20" customWidth="1"/>
    <col min="4" max="4" width="8.85546875" style="20" customWidth="1"/>
    <col min="5" max="5" width="6" style="20" customWidth="1"/>
    <col min="6" max="6" width="20.28515625" style="20" customWidth="1"/>
    <col min="7" max="7" width="12.28515625" style="20" customWidth="1"/>
    <col min="8" max="8" width="10.5703125" style="20" customWidth="1"/>
    <col min="9" max="9" width="13.140625" style="20" customWidth="1"/>
    <col min="10" max="15" width="15.28515625" style="20" customWidth="1"/>
    <col min="16" max="16" width="3.5703125" style="20" customWidth="1"/>
    <col min="17" max="19" width="8.85546875" style="20"/>
    <col min="20" max="20" width="2.85546875" style="20" customWidth="1"/>
    <col min="21" max="27" width="8.85546875" style="20"/>
    <col min="28" max="28" width="8.85546875" style="20" customWidth="1"/>
    <col min="29" max="29" width="27.85546875" style="20" bestFit="1" customWidth="1"/>
    <col min="30" max="30" width="23.5703125" style="20" bestFit="1" customWidth="1"/>
    <col min="31" max="16384" width="8.85546875" style="20"/>
  </cols>
  <sheetData>
    <row r="6" spans="2:15" ht="21" x14ac:dyDescent="0.4">
      <c r="B6" s="29" t="s">
        <v>65</v>
      </c>
      <c r="D6" s="23"/>
      <c r="E6" s="23"/>
    </row>
    <row r="7" spans="2:15" ht="6" customHeight="1" x14ac:dyDescent="0.3"/>
    <row r="8" spans="2:15" thickBot="1" x14ac:dyDescent="0.35">
      <c r="C8" s="21" t="s">
        <v>64</v>
      </c>
      <c r="D8" s="99" t="s">
        <v>5</v>
      </c>
      <c r="E8" s="100"/>
      <c r="K8" s="80" t="s">
        <v>93</v>
      </c>
      <c r="L8" s="80"/>
      <c r="M8" s="80" t="s">
        <v>94</v>
      </c>
      <c r="N8" s="80"/>
      <c r="O8" s="80" t="s">
        <v>95</v>
      </c>
    </row>
    <row r="9" spans="2:15" ht="6" customHeight="1" x14ac:dyDescent="0.25">
      <c r="C9" s="21"/>
      <c r="D9" s="21"/>
      <c r="E9" s="21"/>
      <c r="J9" s="113" t="s">
        <v>78</v>
      </c>
      <c r="K9" s="114"/>
      <c r="L9" s="114" t="s">
        <v>77</v>
      </c>
      <c r="M9" s="114"/>
      <c r="N9" s="114" t="s">
        <v>76</v>
      </c>
      <c r="O9" s="117"/>
    </row>
    <row r="10" spans="2:15" ht="15.75" thickBot="1" x14ac:dyDescent="0.3">
      <c r="C10" s="21" t="s">
        <v>0</v>
      </c>
      <c r="D10" s="21"/>
      <c r="E10" s="21"/>
      <c r="H10" s="32"/>
      <c r="I10" s="32"/>
      <c r="J10" s="115"/>
      <c r="K10" s="116"/>
      <c r="L10" s="116"/>
      <c r="M10" s="116"/>
      <c r="N10" s="116"/>
      <c r="O10" s="118"/>
    </row>
    <row r="11" spans="2:15" ht="15.6" x14ac:dyDescent="0.3">
      <c r="C11" s="25" t="s">
        <v>58</v>
      </c>
      <c r="D11" s="50">
        <v>15</v>
      </c>
      <c r="E11" s="26" t="s">
        <v>61</v>
      </c>
      <c r="H11" s="33" t="s">
        <v>18</v>
      </c>
      <c r="I11" s="37" t="s">
        <v>36</v>
      </c>
      <c r="J11" s="33" t="s">
        <v>16</v>
      </c>
      <c r="K11" s="81" t="s">
        <v>17</v>
      </c>
      <c r="L11" s="33" t="s">
        <v>16</v>
      </c>
      <c r="M11" s="81" t="s">
        <v>17</v>
      </c>
      <c r="N11" s="82" t="s">
        <v>16</v>
      </c>
      <c r="O11" s="81" t="s">
        <v>17</v>
      </c>
    </row>
    <row r="12" spans="2:15" x14ac:dyDescent="0.25">
      <c r="C12" s="25" t="s">
        <v>59</v>
      </c>
      <c r="D12" s="50"/>
      <c r="E12" s="26" t="s">
        <v>61</v>
      </c>
      <c r="H12" s="34" t="s">
        <v>19</v>
      </c>
      <c r="I12" s="102" t="s">
        <v>33</v>
      </c>
      <c r="J12" s="88">
        <f t="shared" ref="J12:J23" si="0">K12*NoCoverFactor</f>
        <v>50.777999999999999</v>
      </c>
      <c r="K12" s="71">
        <f>Calculations!$D17*calCostPerHour</f>
        <v>39.059999999999995</v>
      </c>
      <c r="L12" s="88">
        <f t="shared" ref="L12:L23" si="1">J12</f>
        <v>50.777999999999999</v>
      </c>
      <c r="M12" s="71">
        <f t="shared" ref="M12:M23" si="2">K12</f>
        <v>39.059999999999995</v>
      </c>
      <c r="N12" s="93">
        <f t="shared" ref="N12:N23" si="3">J12</f>
        <v>50.777999999999999</v>
      </c>
      <c r="O12" s="71">
        <f t="shared" ref="O12:O23" si="4">K12</f>
        <v>39.059999999999995</v>
      </c>
    </row>
    <row r="13" spans="2:15" x14ac:dyDescent="0.25">
      <c r="C13" s="25" t="s">
        <v>60</v>
      </c>
      <c r="D13" s="50">
        <v>1.2</v>
      </c>
      <c r="E13" s="26" t="s">
        <v>61</v>
      </c>
      <c r="H13" s="35" t="s">
        <v>20</v>
      </c>
      <c r="I13" s="103"/>
      <c r="J13" s="89">
        <f t="shared" si="0"/>
        <v>45.864000000000004</v>
      </c>
      <c r="K13" s="72">
        <f>Calculations!$D18*calCostPerHour</f>
        <v>35.28</v>
      </c>
      <c r="L13" s="89">
        <f t="shared" si="1"/>
        <v>45.864000000000004</v>
      </c>
      <c r="M13" s="72">
        <f t="shared" si="2"/>
        <v>35.28</v>
      </c>
      <c r="N13" s="94">
        <f t="shared" si="3"/>
        <v>45.864000000000004</v>
      </c>
      <c r="O13" s="72">
        <f t="shared" si="4"/>
        <v>35.28</v>
      </c>
    </row>
    <row r="14" spans="2:15" x14ac:dyDescent="0.25">
      <c r="C14" s="27"/>
      <c r="F14" s="28"/>
      <c r="G14" s="26"/>
      <c r="H14" s="34" t="s">
        <v>21</v>
      </c>
      <c r="I14" s="104" t="s">
        <v>34</v>
      </c>
      <c r="J14" s="88">
        <f t="shared" si="0"/>
        <v>118.482</v>
      </c>
      <c r="K14" s="71">
        <f>Calculations!$D19*calCostPerHour</f>
        <v>91.14</v>
      </c>
      <c r="L14" s="88">
        <f t="shared" si="1"/>
        <v>118.482</v>
      </c>
      <c r="M14" s="71">
        <f t="shared" si="2"/>
        <v>91.14</v>
      </c>
      <c r="N14" s="93">
        <f t="shared" si="3"/>
        <v>118.482</v>
      </c>
      <c r="O14" s="71">
        <f t="shared" si="4"/>
        <v>91.14</v>
      </c>
    </row>
    <row r="15" spans="2:15" x14ac:dyDescent="0.25">
      <c r="C15" s="30" t="s">
        <v>73</v>
      </c>
      <c r="D15" s="62">
        <f>D11*D12*D13*1000</f>
        <v>0</v>
      </c>
      <c r="E15" s="26" t="s">
        <v>62</v>
      </c>
      <c r="H15" s="36" t="s">
        <v>22</v>
      </c>
      <c r="I15" s="105"/>
      <c r="J15" s="90">
        <f t="shared" si="0"/>
        <v>114.66000000000001</v>
      </c>
      <c r="K15" s="73">
        <f>Calculations!$D20*calCostPerHour</f>
        <v>88.2</v>
      </c>
      <c r="L15" s="90">
        <f t="shared" si="1"/>
        <v>114.66000000000001</v>
      </c>
      <c r="M15" s="73">
        <f t="shared" si="2"/>
        <v>88.2</v>
      </c>
      <c r="N15" s="95"/>
      <c r="O15" s="48"/>
    </row>
    <row r="16" spans="2:15" x14ac:dyDescent="0.25">
      <c r="C16" s="27"/>
      <c r="F16" s="28"/>
      <c r="G16" s="26"/>
      <c r="H16" s="36" t="s">
        <v>23</v>
      </c>
      <c r="I16" s="105"/>
      <c r="J16" s="90">
        <f t="shared" si="0"/>
        <v>118.482</v>
      </c>
      <c r="K16" s="73">
        <f>Calculations!$D21*calCostPerHour</f>
        <v>91.14</v>
      </c>
      <c r="L16" s="90">
        <f t="shared" si="1"/>
        <v>118.482</v>
      </c>
      <c r="M16" s="73">
        <f t="shared" si="2"/>
        <v>91.14</v>
      </c>
      <c r="N16" s="95"/>
      <c r="O16" s="48"/>
    </row>
    <row r="17" spans="2:20" x14ac:dyDescent="0.25">
      <c r="C17" s="21" t="s">
        <v>2</v>
      </c>
      <c r="D17" s="51">
        <v>28</v>
      </c>
      <c r="E17" s="21"/>
      <c r="H17" s="34" t="s">
        <v>24</v>
      </c>
      <c r="I17" s="104" t="s">
        <v>32</v>
      </c>
      <c r="J17" s="88">
        <f t="shared" si="0"/>
        <v>180.18</v>
      </c>
      <c r="K17" s="71">
        <f>Calculations!$D22*calCostPerHour</f>
        <v>138.6</v>
      </c>
      <c r="L17" s="88"/>
      <c r="M17" s="71"/>
      <c r="N17" s="96"/>
      <c r="O17" s="46"/>
    </row>
    <row r="18" spans="2:20" x14ac:dyDescent="0.25">
      <c r="C18" s="21"/>
      <c r="D18" s="21"/>
      <c r="E18" s="21"/>
      <c r="H18" s="36" t="s">
        <v>25</v>
      </c>
      <c r="I18" s="105"/>
      <c r="J18" s="90">
        <f t="shared" si="0"/>
        <v>186.18600000000001</v>
      </c>
      <c r="K18" s="73">
        <f>Calculations!$D23*calCostPerHour</f>
        <v>143.22</v>
      </c>
      <c r="L18" s="91"/>
      <c r="M18" s="48"/>
      <c r="N18" s="95"/>
      <c r="O18" s="48"/>
    </row>
    <row r="19" spans="2:20" x14ac:dyDescent="0.25">
      <c r="C19" s="21" t="s">
        <v>74</v>
      </c>
      <c r="D19" s="51" t="s">
        <v>75</v>
      </c>
      <c r="E19" s="21"/>
      <c r="H19" s="35" t="s">
        <v>26</v>
      </c>
      <c r="I19" s="106"/>
      <c r="J19" s="89">
        <f t="shared" si="0"/>
        <v>186.18600000000001</v>
      </c>
      <c r="K19" s="72">
        <f>Calculations!$D24*calCostPerHour</f>
        <v>143.22</v>
      </c>
      <c r="L19" s="92"/>
      <c r="M19" s="47"/>
      <c r="N19" s="97"/>
      <c r="O19" s="47"/>
      <c r="T19" s="80" t="s">
        <v>53</v>
      </c>
    </row>
    <row r="20" spans="2:20" x14ac:dyDescent="0.25">
      <c r="C20" s="21"/>
      <c r="D20" s="21"/>
      <c r="E20" s="21"/>
      <c r="H20" s="34" t="s">
        <v>27</v>
      </c>
      <c r="I20" s="102" t="s">
        <v>35</v>
      </c>
      <c r="J20" s="88">
        <f t="shared" si="0"/>
        <v>114.66000000000001</v>
      </c>
      <c r="K20" s="71">
        <f>Calculations!$D25*calCostPerHour</f>
        <v>88.2</v>
      </c>
      <c r="L20" s="88">
        <f t="shared" si="1"/>
        <v>114.66000000000001</v>
      </c>
      <c r="M20" s="71">
        <f t="shared" si="2"/>
        <v>88.2</v>
      </c>
      <c r="N20" s="96"/>
      <c r="O20" s="46"/>
    </row>
    <row r="21" spans="2:20" x14ac:dyDescent="0.25">
      <c r="C21" s="21" t="s">
        <v>56</v>
      </c>
      <c r="D21" s="99" t="s">
        <v>11</v>
      </c>
      <c r="E21" s="101"/>
      <c r="F21" s="100"/>
      <c r="H21" s="36" t="s">
        <v>28</v>
      </c>
      <c r="I21" s="107"/>
      <c r="J21" s="90">
        <f t="shared" si="0"/>
        <v>118.482</v>
      </c>
      <c r="K21" s="73">
        <f>Calculations!$D26*calCostPerHour</f>
        <v>91.14</v>
      </c>
      <c r="L21" s="90">
        <f t="shared" si="1"/>
        <v>118.482</v>
      </c>
      <c r="M21" s="73">
        <f t="shared" si="2"/>
        <v>91.14</v>
      </c>
      <c r="N21" s="98">
        <f t="shared" si="3"/>
        <v>118.482</v>
      </c>
      <c r="O21" s="73">
        <f t="shared" si="4"/>
        <v>91.14</v>
      </c>
    </row>
    <row r="22" spans="2:20" x14ac:dyDescent="0.25">
      <c r="C22" s="21"/>
      <c r="D22" s="21"/>
      <c r="E22" s="21"/>
      <c r="F22" s="21"/>
      <c r="H22" s="35" t="s">
        <v>29</v>
      </c>
      <c r="I22" s="108"/>
      <c r="J22" s="89">
        <f t="shared" si="0"/>
        <v>114.66000000000001</v>
      </c>
      <c r="K22" s="72">
        <f>Calculations!$D27*calCostPerHour</f>
        <v>88.2</v>
      </c>
      <c r="L22" s="89">
        <f t="shared" si="1"/>
        <v>114.66000000000001</v>
      </c>
      <c r="M22" s="72">
        <f t="shared" si="2"/>
        <v>88.2</v>
      </c>
      <c r="N22" s="94">
        <f t="shared" si="3"/>
        <v>114.66000000000001</v>
      </c>
      <c r="O22" s="72">
        <f t="shared" si="4"/>
        <v>88.2</v>
      </c>
    </row>
    <row r="23" spans="2:20" thickBot="1" x14ac:dyDescent="0.35">
      <c r="C23" s="21" t="s">
        <v>57</v>
      </c>
      <c r="D23" s="52">
        <v>30</v>
      </c>
      <c r="E23" s="26" t="s">
        <v>63</v>
      </c>
      <c r="H23" s="83" t="s">
        <v>30</v>
      </c>
      <c r="I23" s="84" t="s">
        <v>33</v>
      </c>
      <c r="J23" s="85">
        <f t="shared" si="0"/>
        <v>50.777999999999999</v>
      </c>
      <c r="K23" s="86">
        <f>Calculations!$D28*calCostPerHour</f>
        <v>39.059999999999995</v>
      </c>
      <c r="L23" s="85">
        <f t="shared" si="1"/>
        <v>50.777999999999999</v>
      </c>
      <c r="M23" s="86">
        <f t="shared" si="2"/>
        <v>39.059999999999995</v>
      </c>
      <c r="N23" s="87">
        <f t="shared" si="3"/>
        <v>50.777999999999999</v>
      </c>
      <c r="O23" s="86">
        <f t="shared" si="4"/>
        <v>39.059999999999995</v>
      </c>
    </row>
    <row r="24" spans="2:20" x14ac:dyDescent="0.25">
      <c r="J24" s="49"/>
      <c r="K24" s="49"/>
      <c r="L24" s="49"/>
      <c r="M24" s="49"/>
      <c r="N24" s="49"/>
      <c r="O24" s="49"/>
    </row>
    <row r="25" spans="2:20" ht="19.5" thickBot="1" x14ac:dyDescent="0.3">
      <c r="H25" s="53" t="s">
        <v>115</v>
      </c>
    </row>
    <row r="26" spans="2:20" ht="21.6" customHeight="1" x14ac:dyDescent="0.25">
      <c r="H26" s="109" t="s">
        <v>114</v>
      </c>
      <c r="I26" s="110"/>
      <c r="J26" s="74">
        <f>SUM(J12:J23)</f>
        <v>1399.3980000000001</v>
      </c>
      <c r="K26" s="75">
        <f t="shared" ref="K26:O26" si="5">SUM(K12:K23)</f>
        <v>1076.46</v>
      </c>
      <c r="L26" s="74">
        <f t="shared" si="5"/>
        <v>846.84599999999989</v>
      </c>
      <c r="M26" s="75">
        <f t="shared" si="5"/>
        <v>651.41999999999996</v>
      </c>
      <c r="N26" s="76">
        <f t="shared" si="5"/>
        <v>499.04400000000004</v>
      </c>
      <c r="O26" s="75">
        <f t="shared" si="5"/>
        <v>383.88</v>
      </c>
    </row>
    <row r="27" spans="2:20" ht="21.75" thickBot="1" x14ac:dyDescent="0.4">
      <c r="B27" s="29" t="s">
        <v>123</v>
      </c>
      <c r="C27" s="54"/>
      <c r="D27" s="31"/>
      <c r="H27" s="111" t="s">
        <v>40</v>
      </c>
      <c r="I27" s="112"/>
      <c r="J27" s="77">
        <f t="shared" ref="J27:O27" si="6">J26*InverterFactor</f>
        <v>839.63880000000006</v>
      </c>
      <c r="K27" s="78">
        <f t="shared" si="6"/>
        <v>645.87599999999998</v>
      </c>
      <c r="L27" s="77">
        <f t="shared" si="6"/>
        <v>508.10759999999993</v>
      </c>
      <c r="M27" s="78">
        <f t="shared" si="6"/>
        <v>390.85199999999998</v>
      </c>
      <c r="N27" s="79">
        <f t="shared" si="6"/>
        <v>299.4264</v>
      </c>
      <c r="O27" s="78">
        <f t="shared" si="6"/>
        <v>230.32799999999997</v>
      </c>
    </row>
    <row r="28" spans="2:20" x14ac:dyDescent="0.25">
      <c r="C28" s="54" t="s">
        <v>124</v>
      </c>
    </row>
    <row r="29" spans="2:20" x14ac:dyDescent="0.25">
      <c r="C29" s="63" t="str">
        <f>Calculations!B31</f>
        <v>Aquatight Saturn Inverter Model iX09</v>
      </c>
    </row>
    <row r="30" spans="2:20" x14ac:dyDescent="0.25">
      <c r="C30" s="63" t="str">
        <f>Calculations!B32</f>
        <v/>
      </c>
    </row>
    <row r="31" spans="2:20" x14ac:dyDescent="0.25">
      <c r="C31" s="63" t="str">
        <f>Calculations!B33</f>
        <v/>
      </c>
    </row>
    <row r="32" spans="2:20" x14ac:dyDescent="0.25">
      <c r="C32" s="63" t="str">
        <f>Calculations!B34</f>
        <v/>
      </c>
    </row>
    <row r="33" spans="1:5" x14ac:dyDescent="0.25">
      <c r="C33" s="63" t="str">
        <f>Calculations!B35</f>
        <v/>
      </c>
    </row>
    <row r="34" spans="1:5" x14ac:dyDescent="0.25">
      <c r="C34" s="30"/>
    </row>
    <row r="35" spans="1:5" x14ac:dyDescent="0.25">
      <c r="C35" s="54" t="s">
        <v>125</v>
      </c>
    </row>
    <row r="36" spans="1:5" ht="6" customHeight="1" x14ac:dyDescent="0.25">
      <c r="C36" s="21"/>
      <c r="D36" s="21"/>
      <c r="E36" s="21"/>
    </row>
    <row r="37" spans="1:5" x14ac:dyDescent="0.25">
      <c r="C37" s="61" t="s">
        <v>128</v>
      </c>
    </row>
    <row r="38" spans="1:5" x14ac:dyDescent="0.25">
      <c r="C38" s="54"/>
    </row>
    <row r="39" spans="1:5" ht="21" x14ac:dyDescent="0.35">
      <c r="B39" s="29" t="s">
        <v>68</v>
      </c>
    </row>
    <row r="40" spans="1:5" ht="15.75" x14ac:dyDescent="0.25">
      <c r="C40" s="22" t="s">
        <v>69</v>
      </c>
    </row>
    <row r="41" spans="1:5" ht="18.75" x14ac:dyDescent="0.3">
      <c r="C41" s="30" t="s">
        <v>70</v>
      </c>
      <c r="D41" s="64">
        <f>D42*InverterFactor</f>
        <v>645.87599999999998</v>
      </c>
      <c r="E41" s="26" t="s">
        <v>72</v>
      </c>
    </row>
    <row r="42" spans="1:5" ht="18.75" x14ac:dyDescent="0.3">
      <c r="C42" s="30" t="s">
        <v>71</v>
      </c>
      <c r="D42" s="64">
        <f>INDEX(J26:O26,1,MATCH(calSeason,J8:O8,0))*IF(txtPoolCover="No",NoCoverFactor,1)</f>
        <v>1076.46</v>
      </c>
      <c r="E42" s="26" t="s">
        <v>72</v>
      </c>
    </row>
    <row r="47" spans="1:5" x14ac:dyDescent="0.25">
      <c r="A47" s="20" t="s">
        <v>79</v>
      </c>
    </row>
    <row r="48" spans="1:5" x14ac:dyDescent="0.25">
      <c r="A48" s="20" t="s">
        <v>80</v>
      </c>
    </row>
  </sheetData>
  <sheetProtection password="9794" sheet="1" objects="1" scenarios="1" selectLockedCells="1"/>
  <mergeCells count="11">
    <mergeCell ref="H26:I26"/>
    <mergeCell ref="H27:I27"/>
    <mergeCell ref="J9:K10"/>
    <mergeCell ref="L9:M10"/>
    <mergeCell ref="N9:O10"/>
    <mergeCell ref="D8:E8"/>
    <mergeCell ref="D21:F21"/>
    <mergeCell ref="I12:I13"/>
    <mergeCell ref="I14:I16"/>
    <mergeCell ref="I17:I19"/>
    <mergeCell ref="I20:I22"/>
  </mergeCells>
  <dataValidations count="7">
    <dataValidation type="whole" operator="greaterThan" allowBlank="1" showInputMessage="1" showErrorMessage="1" errorTitle="Data Entry Error" error="Please enter the cost as a number of cents per KW hour" sqref="D23">
      <formula1>0</formula1>
    </dataValidation>
    <dataValidation type="list" allowBlank="1" showInputMessage="1" showErrorMessage="1" errorTitle="Data Entry Error" error="Please select from the drop down list" sqref="D8:E8">
      <formula1>ddLocation</formula1>
    </dataValidation>
    <dataValidation type="list" allowBlank="1" showInputMessage="1" showErrorMessage="1" errorTitle="Data Entry Error" error="Please select from the drop down list" sqref="D21:F21">
      <formula1>ddSeasons</formula1>
    </dataValidation>
    <dataValidation type="decimal" operator="greaterThan" allowBlank="1" showInputMessage="1" showErrorMessage="1" errorTitle="Data Entry Error" error="Please enter the number of metres as a number" sqref="D11:D13">
      <formula1>0</formula1>
    </dataValidation>
    <dataValidation type="list" operator="greaterThan" allowBlank="1" showInputMessage="1" showErrorMessage="1" errorTitle="Data Entry Error" error="Please select from the drop down list" sqref="D17">
      <formula1>ddTemp</formula1>
    </dataValidation>
    <dataValidation type="list" operator="greaterThan" allowBlank="1" showInputMessage="1" showErrorMessage="1" errorTitle="Data Entry Error" error="Please select from the drop down list" sqref="D19">
      <formula1>"Yes, No"</formula1>
    </dataValidation>
    <dataValidation type="list" allowBlank="1" showInputMessage="1" showErrorMessage="1" errorTitle="Data Entry Error" error="Please select from Drop Down List" sqref="C37">
      <formula1>ddUpgradeHeaters</formula1>
    </dataValidation>
  </dataValidations>
  <pageMargins left="0.25" right="0.25" top="0.4" bottom="0.33"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Q41"/>
  <sheetViews>
    <sheetView showGridLines="0" topLeftCell="A4" workbookViewId="0">
      <selection activeCell="D14" sqref="D14:O14"/>
    </sheetView>
  </sheetViews>
  <sheetFormatPr defaultRowHeight="15" x14ac:dyDescent="0.25"/>
  <cols>
    <col min="1" max="1" width="30.140625" customWidth="1"/>
    <col min="2" max="2" width="28" customWidth="1"/>
    <col min="3" max="3" width="2.5703125" customWidth="1"/>
    <col min="4" max="4" width="20.7109375" customWidth="1"/>
    <col min="5" max="5" width="20.85546875" customWidth="1"/>
    <col min="6" max="6" width="20.28515625" customWidth="1"/>
    <col min="7" max="7" width="12" customWidth="1"/>
    <col min="8" max="8" width="3" customWidth="1"/>
    <col min="9" max="9" width="16" customWidth="1"/>
    <col min="10" max="10" width="15.42578125" customWidth="1"/>
    <col min="11" max="11" width="15.85546875" customWidth="1"/>
    <col min="12" max="12" width="12.85546875" customWidth="1"/>
    <col min="13" max="13" width="3.28515625" customWidth="1"/>
    <col min="14" max="14" width="16.140625" customWidth="1"/>
    <col min="15" max="15" width="12.85546875" customWidth="1"/>
    <col min="16" max="16" width="14.7109375" customWidth="1"/>
    <col min="17" max="17" width="13" customWidth="1"/>
  </cols>
  <sheetData>
    <row r="8" spans="1:17" ht="14.45" x14ac:dyDescent="0.3">
      <c r="A8" t="s">
        <v>15</v>
      </c>
      <c r="B8" s="19" t="s">
        <v>7</v>
      </c>
    </row>
    <row r="11" spans="1:17" ht="18" x14ac:dyDescent="0.35">
      <c r="A11" s="13" t="s">
        <v>0</v>
      </c>
      <c r="B11" s="1"/>
    </row>
    <row r="12" spans="1:17" ht="14.45" x14ac:dyDescent="0.3">
      <c r="A12" t="s">
        <v>12</v>
      </c>
      <c r="B12" s="19">
        <v>8</v>
      </c>
    </row>
    <row r="13" spans="1:17" ht="14.45" x14ac:dyDescent="0.3">
      <c r="B13" s="2"/>
    </row>
    <row r="14" spans="1:17" ht="15.6" x14ac:dyDescent="0.3">
      <c r="A14" t="s">
        <v>13</v>
      </c>
      <c r="B14" s="19">
        <v>4</v>
      </c>
      <c r="D14" s="12" t="s">
        <v>37</v>
      </c>
      <c r="E14" s="12"/>
      <c r="F14" s="12"/>
      <c r="G14" s="12"/>
      <c r="H14" s="12"/>
      <c r="I14" s="12" t="s">
        <v>38</v>
      </c>
      <c r="J14" s="12"/>
      <c r="K14" s="12"/>
      <c r="N14" s="12" t="s">
        <v>41</v>
      </c>
    </row>
    <row r="15" spans="1:17" ht="14.45" x14ac:dyDescent="0.3">
      <c r="B15" s="3"/>
    </row>
    <row r="16" spans="1:17" ht="14.45" x14ac:dyDescent="0.3">
      <c r="A16" t="s">
        <v>14</v>
      </c>
      <c r="B16" s="19">
        <v>1.2</v>
      </c>
      <c r="D16" t="s">
        <v>18</v>
      </c>
      <c r="E16" t="s">
        <v>16</v>
      </c>
      <c r="F16" t="s">
        <v>17</v>
      </c>
      <c r="G16" t="s">
        <v>36</v>
      </c>
      <c r="I16" t="s">
        <v>18</v>
      </c>
      <c r="J16" t="s">
        <v>16</v>
      </c>
      <c r="K16" t="s">
        <v>17</v>
      </c>
      <c r="L16" t="s">
        <v>36</v>
      </c>
      <c r="N16" t="s">
        <v>18</v>
      </c>
      <c r="O16" t="s">
        <v>16</v>
      </c>
      <c r="P16" t="s">
        <v>17</v>
      </c>
      <c r="Q16" t="s">
        <v>36</v>
      </c>
    </row>
    <row r="17" spans="1:17" ht="14.45" x14ac:dyDescent="0.3">
      <c r="B17" s="3"/>
      <c r="D17" s="5" t="s">
        <v>19</v>
      </c>
      <c r="E17" s="11">
        <f>Table1[[#This Row],[With Cover]]*1.4</f>
        <v>70.308000000000007</v>
      </c>
      <c r="F17" s="11">
        <f>B29*(B27/100)*3*31</f>
        <v>50.220000000000006</v>
      </c>
      <c r="G17" s="5" t="s">
        <v>33</v>
      </c>
      <c r="I17" s="5" t="s">
        <v>19</v>
      </c>
      <c r="J17" s="11">
        <f>Table14[[#This Row],[With Cover]]*1.4</f>
        <v>70.308000000000007</v>
      </c>
      <c r="K17" s="11">
        <f>B29*(B27/100)*3*31</f>
        <v>50.220000000000006</v>
      </c>
      <c r="L17" s="5" t="s">
        <v>33</v>
      </c>
      <c r="N17" s="5" t="s">
        <v>19</v>
      </c>
      <c r="O17" s="11">
        <f>Table145[[#This Row],[With Cover]]*1.4</f>
        <v>70.308000000000007</v>
      </c>
      <c r="P17" s="11">
        <f>B29*(B27/100)*3*31</f>
        <v>50.220000000000006</v>
      </c>
      <c r="Q17" s="5" t="s">
        <v>33</v>
      </c>
    </row>
    <row r="18" spans="1:17" ht="14.45" x14ac:dyDescent="0.3">
      <c r="A18" t="s">
        <v>1</v>
      </c>
      <c r="B18" s="4">
        <f>B12*B14*B16*1000</f>
        <v>38400</v>
      </c>
      <c r="D18" s="5" t="s">
        <v>20</v>
      </c>
      <c r="E18" s="11">
        <f>Table1[[#This Row],[With Cover]]*1.4</f>
        <v>63.503999999999998</v>
      </c>
      <c r="F18" s="11">
        <f>B29*(B27/100)*3*28</f>
        <v>45.36</v>
      </c>
      <c r="G18" s="5"/>
      <c r="I18" s="5" t="s">
        <v>20</v>
      </c>
      <c r="J18" s="11">
        <f>Table14[[#This Row],[With Cover]]*1.4</f>
        <v>63.503999999999998</v>
      </c>
      <c r="K18" s="11">
        <f>B29*(B27/100)*3*28</f>
        <v>45.36</v>
      </c>
      <c r="L18" s="5"/>
      <c r="N18" s="5" t="s">
        <v>20</v>
      </c>
      <c r="O18" s="11">
        <f>Table145[[#This Row],[With Cover]]*1.4</f>
        <v>63.503999999999998</v>
      </c>
      <c r="P18" s="11">
        <f>B29*(B27/100)*3*28</f>
        <v>45.36</v>
      </c>
      <c r="Q18" s="5"/>
    </row>
    <row r="19" spans="1:17" ht="14.45" x14ac:dyDescent="0.3">
      <c r="D19" s="7" t="s">
        <v>21</v>
      </c>
      <c r="E19" s="10">
        <f>Table1[[#This Row],[With Cover]]*1.4</f>
        <v>164.05199999999999</v>
      </c>
      <c r="F19" s="10">
        <f>B29*(B27/100)*7*31</f>
        <v>117.18</v>
      </c>
      <c r="G19" s="7" t="s">
        <v>34</v>
      </c>
      <c r="I19" s="7" t="s">
        <v>21</v>
      </c>
      <c r="J19" s="10">
        <f>Table14[[#This Row],[With Cover]]*1.4</f>
        <v>164.05199999999999</v>
      </c>
      <c r="K19" s="10">
        <f>B29*(B27/100)*7*31</f>
        <v>117.18</v>
      </c>
      <c r="L19" s="7" t="s">
        <v>34</v>
      </c>
      <c r="N19" s="7" t="s">
        <v>21</v>
      </c>
      <c r="O19" s="10">
        <f>Table145[[#This Row],[With Cover]]*1.4</f>
        <v>164.05199999999999</v>
      </c>
      <c r="P19" s="10">
        <f>B29*(B27/100)*7*31</f>
        <v>117.18</v>
      </c>
      <c r="Q19" s="7" t="s">
        <v>34</v>
      </c>
    </row>
    <row r="20" spans="1:17" ht="14.45" x14ac:dyDescent="0.3">
      <c r="D20" s="7" t="s">
        <v>22</v>
      </c>
      <c r="E20" s="10">
        <f>Table1[[#This Row],[With Cover]]*1.4</f>
        <v>158.76</v>
      </c>
      <c r="F20" s="10">
        <f>B29*(B27/100)*7*30</f>
        <v>113.4</v>
      </c>
      <c r="G20" s="7"/>
      <c r="I20" s="7" t="s">
        <v>22</v>
      </c>
      <c r="J20" s="10">
        <f>Table14[[#This Row],[With Cover]]*1.4</f>
        <v>158.76</v>
      </c>
      <c r="K20" s="10">
        <f>B29*(B27/100)*7*30</f>
        <v>113.4</v>
      </c>
      <c r="L20" s="7"/>
      <c r="N20" s="7" t="s">
        <v>22</v>
      </c>
      <c r="O20" s="10">
        <v>0</v>
      </c>
      <c r="P20" s="10">
        <v>0</v>
      </c>
      <c r="Q20" s="7"/>
    </row>
    <row r="21" spans="1:17" ht="14.45" x14ac:dyDescent="0.3">
      <c r="D21" s="7" t="s">
        <v>23</v>
      </c>
      <c r="E21" s="10">
        <f>Table1[[#This Row],[With Cover]]*1.4</f>
        <v>164.05199999999999</v>
      </c>
      <c r="F21" s="10">
        <f>B29*(B27/100)*7*31</f>
        <v>117.18</v>
      </c>
      <c r="G21" s="7"/>
      <c r="I21" s="7" t="s">
        <v>23</v>
      </c>
      <c r="J21" s="10">
        <f>Table14[[#This Row],[With Cover]]*1.4</f>
        <v>164.05199999999999</v>
      </c>
      <c r="K21" s="10">
        <f>B29*(B27/100)*7*31</f>
        <v>117.18</v>
      </c>
      <c r="L21" s="7"/>
      <c r="N21" s="7" t="s">
        <v>23</v>
      </c>
      <c r="O21" s="10">
        <v>0</v>
      </c>
      <c r="P21" s="10">
        <v>0</v>
      </c>
      <c r="Q21" s="7"/>
    </row>
    <row r="22" spans="1:17" ht="14.45" x14ac:dyDescent="0.3">
      <c r="A22" t="s">
        <v>2</v>
      </c>
      <c r="B22" s="19">
        <v>30</v>
      </c>
      <c r="D22" s="6" t="s">
        <v>24</v>
      </c>
      <c r="E22" s="9">
        <f>Table1[[#This Row],[With Cover]]*1.4</f>
        <v>249.48000000000002</v>
      </c>
      <c r="F22" s="9">
        <f>B29*(B27/100)*11*30</f>
        <v>178.20000000000002</v>
      </c>
      <c r="G22" s="6"/>
      <c r="I22" s="6" t="s">
        <v>24</v>
      </c>
      <c r="J22" s="9">
        <v>0</v>
      </c>
      <c r="K22" s="9">
        <v>0</v>
      </c>
      <c r="L22" s="6"/>
      <c r="N22" s="6" t="s">
        <v>24</v>
      </c>
      <c r="O22" s="9">
        <v>0</v>
      </c>
      <c r="P22" s="9">
        <v>0</v>
      </c>
      <c r="Q22" s="6"/>
    </row>
    <row r="23" spans="1:17" ht="14.45" x14ac:dyDescent="0.3">
      <c r="B23" s="3"/>
      <c r="D23" s="6" t="s">
        <v>25</v>
      </c>
      <c r="E23" s="9">
        <f>Table1[[#This Row],[With Cover]]*1.4</f>
        <v>257.79599999999999</v>
      </c>
      <c r="F23" s="9">
        <f>B29*(B27/100)*11*31</f>
        <v>184.14000000000001</v>
      </c>
      <c r="G23" s="6" t="s">
        <v>32</v>
      </c>
      <c r="I23" s="6" t="s">
        <v>25</v>
      </c>
      <c r="J23" s="9">
        <v>0</v>
      </c>
      <c r="K23" s="9">
        <v>0</v>
      </c>
      <c r="L23" s="6" t="s">
        <v>32</v>
      </c>
      <c r="N23" s="6" t="s">
        <v>25</v>
      </c>
      <c r="O23" s="9">
        <v>0</v>
      </c>
      <c r="P23" s="9">
        <v>0</v>
      </c>
      <c r="Q23" s="6" t="s">
        <v>32</v>
      </c>
    </row>
    <row r="24" spans="1:17" ht="14.45" x14ac:dyDescent="0.3">
      <c r="A24" t="s">
        <v>3</v>
      </c>
      <c r="B24" s="19" t="s">
        <v>42</v>
      </c>
      <c r="D24" s="6" t="s">
        <v>26</v>
      </c>
      <c r="E24" s="9">
        <f>Table1[[#This Row],[With Cover]]*1.4</f>
        <v>257.79599999999999</v>
      </c>
      <c r="F24" s="9">
        <f>B29*(B27/100)*11*31</f>
        <v>184.14000000000001</v>
      </c>
      <c r="G24" s="6"/>
      <c r="I24" s="6" t="s">
        <v>26</v>
      </c>
      <c r="J24" s="9">
        <v>0</v>
      </c>
      <c r="K24" s="9">
        <v>0</v>
      </c>
      <c r="L24" s="6"/>
      <c r="N24" s="6" t="s">
        <v>26</v>
      </c>
      <c r="O24" s="9">
        <v>0</v>
      </c>
      <c r="P24" s="9">
        <v>0</v>
      </c>
      <c r="Q24" s="6"/>
    </row>
    <row r="25" spans="1:17" ht="14.45" x14ac:dyDescent="0.3">
      <c r="D25" s="7" t="s">
        <v>27</v>
      </c>
      <c r="E25" s="10">
        <f>Table1[[#This Row],[With Cover]]*1.4</f>
        <v>158.76</v>
      </c>
      <c r="F25" s="10">
        <f>B29*(B27/100)*7*30</f>
        <v>113.4</v>
      </c>
      <c r="G25" s="7" t="s">
        <v>35</v>
      </c>
      <c r="I25" s="7" t="s">
        <v>27</v>
      </c>
      <c r="J25" s="10">
        <f>Table14[[#This Row],[With Cover]]*1.4</f>
        <v>158.76</v>
      </c>
      <c r="K25" s="10">
        <f>B29*(B27/100)*7*30</f>
        <v>113.4</v>
      </c>
      <c r="L25" s="7" t="s">
        <v>35</v>
      </c>
      <c r="N25" s="7" t="s">
        <v>27</v>
      </c>
      <c r="O25" s="10">
        <v>0</v>
      </c>
      <c r="P25" s="10">
        <v>0</v>
      </c>
      <c r="Q25" s="7" t="s">
        <v>35</v>
      </c>
    </row>
    <row r="26" spans="1:17" ht="14.45" x14ac:dyDescent="0.3">
      <c r="D26" s="7" t="s">
        <v>28</v>
      </c>
      <c r="E26" s="10">
        <f>Table1[[#This Row],[With Cover]]*1.4</f>
        <v>164.05199999999999</v>
      </c>
      <c r="F26" s="10">
        <f>B29*(B27/100)*7*31</f>
        <v>117.18</v>
      </c>
      <c r="G26" s="7"/>
      <c r="I26" s="7" t="s">
        <v>28</v>
      </c>
      <c r="J26" s="10">
        <f>Table14[[#This Row],[With Cover]]*1.4</f>
        <v>164.05199999999999</v>
      </c>
      <c r="K26" s="10">
        <f>B29*(B27/100)*7*31</f>
        <v>117.18</v>
      </c>
      <c r="L26" s="7"/>
      <c r="N26" s="7" t="s">
        <v>28</v>
      </c>
      <c r="O26" s="10">
        <f>Table145[[#This Row],[With Cover]]*1.4</f>
        <v>164.05199999999999</v>
      </c>
      <c r="P26" s="10">
        <f>B29*(B27/100)*7*31</f>
        <v>117.18</v>
      </c>
      <c r="Q26" s="7"/>
    </row>
    <row r="27" spans="1:17" x14ac:dyDescent="0.25">
      <c r="A27" t="s">
        <v>4</v>
      </c>
      <c r="B27" s="19">
        <v>30</v>
      </c>
      <c r="D27" s="7" t="s">
        <v>29</v>
      </c>
      <c r="E27" s="10">
        <f>Table1[[#This Row],[With Cover]]*1.4</f>
        <v>158.76</v>
      </c>
      <c r="F27" s="10">
        <f>B29*(B27/100)*7*30</f>
        <v>113.4</v>
      </c>
      <c r="G27" s="7"/>
      <c r="I27" s="7" t="s">
        <v>29</v>
      </c>
      <c r="J27" s="10">
        <f>Table14[[#This Row],[With Cover]]*1.4</f>
        <v>158.76</v>
      </c>
      <c r="K27" s="10">
        <f>B29*(B27/100)*7*30</f>
        <v>113.4</v>
      </c>
      <c r="L27" s="7"/>
      <c r="N27" s="7" t="s">
        <v>29</v>
      </c>
      <c r="O27" s="10">
        <f>Table145[[#This Row],[With Cover]]*1.4</f>
        <v>158.76</v>
      </c>
      <c r="P27" s="10">
        <f>B29*(B27/100)*7*30</f>
        <v>113.4</v>
      </c>
      <c r="Q27" s="7"/>
    </row>
    <row r="28" spans="1:17" x14ac:dyDescent="0.25">
      <c r="D28" s="5" t="s">
        <v>30</v>
      </c>
      <c r="E28" s="11">
        <f>Table1[[#This Row],[With Cover]]*1.4</f>
        <v>70.308000000000007</v>
      </c>
      <c r="F28" s="11">
        <f>B29*(B27/100)*3*31</f>
        <v>50.220000000000006</v>
      </c>
      <c r="G28" s="5" t="s">
        <v>33</v>
      </c>
      <c r="I28" s="5" t="s">
        <v>30</v>
      </c>
      <c r="J28" s="11">
        <f>Table14[[#This Row],[With Cover]]*1.4</f>
        <v>70.308000000000007</v>
      </c>
      <c r="K28" s="11">
        <f>B29*(B27/100)*3*31</f>
        <v>50.220000000000006</v>
      </c>
      <c r="L28" s="5" t="s">
        <v>33</v>
      </c>
      <c r="N28" s="5" t="s">
        <v>30</v>
      </c>
      <c r="O28" s="11">
        <f>Table145[[#This Row],[With Cover]]*1.4</f>
        <v>70.308000000000007</v>
      </c>
      <c r="P28" s="11">
        <f>B29*(B27/100)*3*31</f>
        <v>50.220000000000006</v>
      </c>
      <c r="Q28" s="5" t="s">
        <v>33</v>
      </c>
    </row>
    <row r="29" spans="1:17" x14ac:dyDescent="0.25">
      <c r="A29" t="s">
        <v>39</v>
      </c>
      <c r="B29" s="19">
        <v>1.8</v>
      </c>
      <c r="D29" t="s">
        <v>31</v>
      </c>
      <c r="E29" s="8">
        <f>Table1[[#This Row],[With Cover]]*1.4</f>
        <v>1937.6280000000002</v>
      </c>
      <c r="F29" s="8">
        <f>SUM(F16:F28)</f>
        <v>1384.0200000000002</v>
      </c>
      <c r="I29" t="s">
        <v>31</v>
      </c>
      <c r="J29" s="8">
        <f>SUM(J17:J28)</f>
        <v>1172.556</v>
      </c>
      <c r="K29" s="8">
        <f>SUM(K17:K28)</f>
        <v>837.54000000000008</v>
      </c>
      <c r="N29" t="s">
        <v>31</v>
      </c>
      <c r="O29" s="8">
        <f>SUM(O17:O28)</f>
        <v>690.98400000000004</v>
      </c>
      <c r="P29" s="8">
        <f>SUM(P17:P28)</f>
        <v>493.56000000000006</v>
      </c>
    </row>
    <row r="30" spans="1:17" ht="15.75" x14ac:dyDescent="0.25">
      <c r="D30" s="14" t="s">
        <v>40</v>
      </c>
      <c r="E30" s="15">
        <f>Table1[[#This Row],[With Cover]]*1.4</f>
        <v>1162.5768</v>
      </c>
      <c r="F30" s="16">
        <f>F29*0.6</f>
        <v>830.41200000000015</v>
      </c>
      <c r="G30" s="14"/>
      <c r="I30" s="14" t="s">
        <v>40</v>
      </c>
      <c r="J30" s="15">
        <f>Table14[[#This Row],[With Cover]]*1.4</f>
        <v>703.53359999999998</v>
      </c>
      <c r="K30" s="16">
        <f>K29*0.6</f>
        <v>502.524</v>
      </c>
      <c r="L30" s="14"/>
      <c r="N30" s="14" t="s">
        <v>40</v>
      </c>
      <c r="O30" s="15">
        <f>Table145[[#This Row],[With Cover]]*1.4</f>
        <v>414.59039999999999</v>
      </c>
      <c r="P30" s="16">
        <f>P29*0.6</f>
        <v>296.13600000000002</v>
      </c>
      <c r="Q30" s="14"/>
    </row>
    <row r="33" spans="1:6" x14ac:dyDescent="0.25">
      <c r="B33" s="2"/>
    </row>
    <row r="34" spans="1:6" x14ac:dyDescent="0.25">
      <c r="A34" t="s">
        <v>54</v>
      </c>
    </row>
    <row r="35" spans="1:6" ht="21" x14ac:dyDescent="0.35">
      <c r="A35" s="18">
        <f>B18</f>
        <v>38400</v>
      </c>
      <c r="B35" t="s">
        <v>45</v>
      </c>
      <c r="C35" t="s">
        <v>53</v>
      </c>
      <c r="D35" s="3" t="s">
        <v>46</v>
      </c>
      <c r="E35" s="3" t="s">
        <v>47</v>
      </c>
      <c r="F35" s="3" t="s">
        <v>48</v>
      </c>
    </row>
    <row r="36" spans="1:6" x14ac:dyDescent="0.25">
      <c r="B36" t="s">
        <v>43</v>
      </c>
      <c r="C36" s="6"/>
      <c r="D36" s="17">
        <v>40000</v>
      </c>
      <c r="E36" s="3">
        <f>D36*1.4</f>
        <v>56000</v>
      </c>
      <c r="F36" s="3">
        <f>D36*1.7</f>
        <v>68000</v>
      </c>
    </row>
    <row r="37" spans="1:6" x14ac:dyDescent="0.25">
      <c r="B37" t="s">
        <v>49</v>
      </c>
      <c r="C37" s="6"/>
      <c r="D37" s="17">
        <v>60000</v>
      </c>
      <c r="E37" s="3">
        <f>D37*1.4</f>
        <v>84000</v>
      </c>
      <c r="F37" s="3">
        <f>D37*1.6</f>
        <v>96000</v>
      </c>
    </row>
    <row r="38" spans="1:6" x14ac:dyDescent="0.25">
      <c r="B38" t="s">
        <v>50</v>
      </c>
      <c r="C38" s="6"/>
      <c r="D38" s="17">
        <v>70000</v>
      </c>
      <c r="E38" s="3">
        <f>D38*1.4</f>
        <v>98000</v>
      </c>
      <c r="F38" s="3">
        <f>D38*1.6</f>
        <v>112000</v>
      </c>
    </row>
    <row r="39" spans="1:6" x14ac:dyDescent="0.25">
      <c r="B39" t="s">
        <v>44</v>
      </c>
      <c r="C39" s="6"/>
      <c r="D39" s="17">
        <v>80000</v>
      </c>
      <c r="E39" s="3">
        <f>D39*1.2</f>
        <v>96000</v>
      </c>
      <c r="F39" s="3">
        <f>D39*1.4</f>
        <v>112000</v>
      </c>
    </row>
    <row r="40" spans="1:6" x14ac:dyDescent="0.25">
      <c r="B40" t="s">
        <v>51</v>
      </c>
      <c r="C40" s="6"/>
      <c r="D40" s="17">
        <v>110000</v>
      </c>
      <c r="E40" s="3">
        <f>D40*1.2</f>
        <v>132000</v>
      </c>
      <c r="F40" s="3">
        <f>D40*1.4</f>
        <v>154000</v>
      </c>
    </row>
    <row r="41" spans="1:6" x14ac:dyDescent="0.25">
      <c r="B41" t="s">
        <v>52</v>
      </c>
      <c r="C41" s="6"/>
      <c r="D41" s="17">
        <v>150000</v>
      </c>
      <c r="E41" s="3">
        <f>D41*1.2</f>
        <v>180000</v>
      </c>
      <c r="F41" s="3">
        <f>D41*1.4</f>
        <v>210000</v>
      </c>
    </row>
  </sheetData>
  <sheetProtection autoFilter="0"/>
  <pageMargins left="0.7" right="0.7" top="0.75" bottom="0.75" header="0.3" footer="0.3"/>
  <pageSetup paperSize="9" scale="50" fitToHeight="0" orientation="landscape"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Lookup!$H$2:$H$4</xm:f>
          </x14:formula1>
          <xm:sqref>B24</xm:sqref>
        </x14:dataValidation>
        <x14:dataValidation type="list" allowBlank="1" showInputMessage="1" showErrorMessage="1">
          <x14:formula1>
            <xm:f>Lookup!$D$2:$D$7</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1"/>
  <sheetViews>
    <sheetView showGridLines="0" topLeftCell="C1" workbookViewId="0">
      <selection activeCell="Q24" sqref="Q24"/>
    </sheetView>
  </sheetViews>
  <sheetFormatPr defaultColWidth="8.85546875" defaultRowHeight="15" x14ac:dyDescent="0.25"/>
  <cols>
    <col min="1" max="2" width="8.85546875" style="24"/>
    <col min="3" max="3" width="2.7109375" style="24" customWidth="1"/>
    <col min="4" max="4" width="15.7109375" style="24" customWidth="1"/>
    <col min="5" max="6" width="11.7109375" style="24" customWidth="1"/>
    <col min="7" max="7" width="3.85546875" style="24" customWidth="1"/>
    <col min="8" max="8" width="31.42578125" style="24" bestFit="1" customWidth="1"/>
    <col min="9" max="9" width="8.7109375" style="24" bestFit="1" customWidth="1"/>
    <col min="10" max="10" width="4.5703125" style="24" customWidth="1"/>
    <col min="11" max="11" width="15.28515625" style="24" customWidth="1"/>
    <col min="12" max="12" width="13.140625" style="24" customWidth="1"/>
    <col min="13" max="16" width="11" style="24" customWidth="1"/>
    <col min="17" max="17" width="14.5703125" style="24" customWidth="1"/>
    <col min="18" max="18" width="11" style="24" customWidth="1"/>
    <col min="19" max="19" width="11" style="58" customWidth="1"/>
    <col min="20" max="20" width="3.85546875" style="24" customWidth="1"/>
    <col min="21" max="21" width="13.5703125" style="24" bestFit="1" customWidth="1"/>
    <col min="22" max="22" width="37.42578125" style="24" bestFit="1" customWidth="1"/>
    <col min="23" max="23" width="3.85546875" style="24" customWidth="1"/>
    <col min="24" max="24" width="13" style="24" customWidth="1"/>
    <col min="25" max="25" width="11.28515625" style="24" customWidth="1"/>
    <col min="26" max="26" width="3.7109375" style="24" customWidth="1"/>
    <col min="27" max="28" width="8.85546875" style="24"/>
    <col min="29" max="29" width="3.28515625" style="24" customWidth="1"/>
    <col min="30" max="16384" width="8.85546875" style="24"/>
  </cols>
  <sheetData>
    <row r="1" spans="1:30" ht="43.15" x14ac:dyDescent="0.3">
      <c r="A1" s="44" t="s">
        <v>112</v>
      </c>
      <c r="B1" s="44" t="s">
        <v>113</v>
      </c>
      <c r="D1" s="43" t="s">
        <v>55</v>
      </c>
      <c r="E1" s="44" t="s">
        <v>88</v>
      </c>
      <c r="F1" s="44" t="s">
        <v>89</v>
      </c>
      <c r="G1" s="38"/>
      <c r="H1" s="43" t="s">
        <v>99</v>
      </c>
      <c r="I1" s="43" t="s">
        <v>36</v>
      </c>
      <c r="K1" s="41" t="s">
        <v>120</v>
      </c>
      <c r="L1" s="41" t="s">
        <v>87</v>
      </c>
      <c r="M1" s="41" t="s">
        <v>93</v>
      </c>
      <c r="N1" s="41" t="s">
        <v>94</v>
      </c>
      <c r="O1" s="41" t="s">
        <v>95</v>
      </c>
      <c r="P1" s="41" t="s">
        <v>116</v>
      </c>
      <c r="Q1" s="41" t="s">
        <v>117</v>
      </c>
      <c r="R1" s="41" t="s">
        <v>118</v>
      </c>
      <c r="S1" s="57" t="s">
        <v>119</v>
      </c>
      <c r="T1" s="40"/>
      <c r="U1" s="43" t="s">
        <v>120</v>
      </c>
      <c r="V1" s="43" t="s">
        <v>86</v>
      </c>
      <c r="X1" s="44" t="s">
        <v>66</v>
      </c>
      <c r="Y1" s="44" t="s">
        <v>89</v>
      </c>
      <c r="AA1" s="44" t="s">
        <v>107</v>
      </c>
      <c r="AB1" s="44" t="s">
        <v>108</v>
      </c>
    </row>
    <row r="2" spans="1:30" ht="14.45" x14ac:dyDescent="0.3">
      <c r="A2" s="24">
        <v>1.3</v>
      </c>
      <c r="B2" s="24">
        <v>0.6</v>
      </c>
      <c r="D2" s="24" t="s">
        <v>8</v>
      </c>
      <c r="E2" s="24">
        <v>1</v>
      </c>
      <c r="F2" s="24">
        <v>1</v>
      </c>
      <c r="H2" s="24" t="s">
        <v>42</v>
      </c>
      <c r="I2" s="24" t="s">
        <v>95</v>
      </c>
      <c r="K2" s="24" t="s">
        <v>81</v>
      </c>
      <c r="L2" s="24">
        <v>1.4</v>
      </c>
      <c r="M2" s="40">
        <v>0</v>
      </c>
      <c r="N2" s="40">
        <v>0</v>
      </c>
      <c r="O2" s="40">
        <v>0</v>
      </c>
      <c r="P2" s="56">
        <v>1</v>
      </c>
      <c r="Q2" s="65" t="b">
        <f>IF(Q1=TRUE,TRUE,HeaterModels[[#This Row],[Heater Rating]]=calRecomendedUnit)</f>
        <v>1</v>
      </c>
      <c r="R2" s="65">
        <f>COUNTIFS($Q$2:Q2,TRUE)</f>
        <v>1</v>
      </c>
      <c r="S2" s="66">
        <f t="shared" ref="S2:S8" si="0">IF(R2&lt;=1,1,P2*S1)</f>
        <v>1</v>
      </c>
      <c r="T2" s="40"/>
      <c r="U2" s="40" t="s">
        <v>81</v>
      </c>
      <c r="V2" s="40" t="s">
        <v>122</v>
      </c>
      <c r="X2" s="24">
        <v>25</v>
      </c>
      <c r="Y2" s="24">
        <v>0.9</v>
      </c>
      <c r="AA2" s="24" t="s">
        <v>19</v>
      </c>
      <c r="AB2" s="24">
        <v>3</v>
      </c>
      <c r="AD2" s="55"/>
    </row>
    <row r="3" spans="1:30" x14ac:dyDescent="0.25">
      <c r="D3" s="24" t="s">
        <v>5</v>
      </c>
      <c r="E3" s="24">
        <v>1</v>
      </c>
      <c r="F3" s="24">
        <v>1</v>
      </c>
      <c r="H3" s="24" t="s">
        <v>10</v>
      </c>
      <c r="I3" s="24" t="s">
        <v>94</v>
      </c>
      <c r="K3" s="24" t="s">
        <v>82</v>
      </c>
      <c r="L3" s="24">
        <v>1.73</v>
      </c>
      <c r="M3" s="40">
        <v>40000</v>
      </c>
      <c r="N3" s="40">
        <v>56000</v>
      </c>
      <c r="O3" s="40">
        <v>68000</v>
      </c>
      <c r="P3" s="56">
        <v>0.6</v>
      </c>
      <c r="Q3" s="65" t="b">
        <f>IF(Q2=TRUE,TRUE,HeaterModels[[#This Row],[Heater Rating]]=calRecomendedUnit)</f>
        <v>1</v>
      </c>
      <c r="R3" s="65">
        <f>COUNTIFS($Q$2:Q3,TRUE)</f>
        <v>2</v>
      </c>
      <c r="S3" s="66">
        <f t="shared" si="0"/>
        <v>0.6</v>
      </c>
      <c r="T3" s="40"/>
      <c r="U3" s="40"/>
      <c r="V3" s="40"/>
      <c r="X3" s="24">
        <v>26</v>
      </c>
      <c r="Y3" s="24">
        <v>0.95</v>
      </c>
      <c r="AA3" s="24" t="s">
        <v>20</v>
      </c>
      <c r="AB3" s="24">
        <v>3</v>
      </c>
    </row>
    <row r="4" spans="1:30" x14ac:dyDescent="0.25">
      <c r="D4" s="24" t="s">
        <v>133</v>
      </c>
      <c r="E4" s="24">
        <v>1.1000000000000001</v>
      </c>
      <c r="F4" s="24">
        <v>1.1000000000000001</v>
      </c>
      <c r="H4" s="24" t="s">
        <v>11</v>
      </c>
      <c r="I4" s="24" t="s">
        <v>93</v>
      </c>
      <c r="K4" s="24" t="s">
        <v>92</v>
      </c>
      <c r="L4" s="24">
        <v>2.2000000000000002</v>
      </c>
      <c r="M4" s="40">
        <v>60000</v>
      </c>
      <c r="N4" s="40">
        <v>84000</v>
      </c>
      <c r="O4" s="40">
        <v>96000</v>
      </c>
      <c r="P4" s="56">
        <v>0.6</v>
      </c>
      <c r="Q4" s="65" t="b">
        <f>IF(Q3=TRUE,TRUE,HeaterModels[[#This Row],[Heater Rating]]=calRecomendedUnit)</f>
        <v>1</v>
      </c>
      <c r="R4" s="65">
        <f>COUNTIFS($Q$2:Q4,TRUE)</f>
        <v>3</v>
      </c>
      <c r="S4" s="66">
        <f t="shared" si="0"/>
        <v>0.36</v>
      </c>
      <c r="T4" s="40"/>
      <c r="U4" s="40" t="s">
        <v>82</v>
      </c>
      <c r="V4" s="40" t="s">
        <v>130</v>
      </c>
      <c r="X4" s="24">
        <v>27</v>
      </c>
      <c r="Y4" s="24">
        <v>1</v>
      </c>
      <c r="AA4" s="24" t="s">
        <v>102</v>
      </c>
      <c r="AB4" s="24">
        <v>7</v>
      </c>
    </row>
    <row r="5" spans="1:30" x14ac:dyDescent="0.25">
      <c r="D5" s="24" t="s">
        <v>6</v>
      </c>
      <c r="E5" s="24">
        <v>1.1000000000000001</v>
      </c>
      <c r="F5" s="24">
        <v>1.1000000000000001</v>
      </c>
      <c r="K5" s="24" t="s">
        <v>83</v>
      </c>
      <c r="L5" s="24">
        <v>2.6</v>
      </c>
      <c r="M5" s="40">
        <v>70000</v>
      </c>
      <c r="N5" s="40">
        <v>96000</v>
      </c>
      <c r="O5" s="40">
        <v>112000</v>
      </c>
      <c r="P5" s="56">
        <v>0.6</v>
      </c>
      <c r="Q5" s="65" t="b">
        <f>IF(Q4=TRUE,TRUE,HeaterModels[[#This Row],[Heater Rating]]=calRecomendedUnit)</f>
        <v>1</v>
      </c>
      <c r="R5" s="65">
        <f>COUNTIFS($Q$2:Q5,TRUE)</f>
        <v>4</v>
      </c>
      <c r="S5" s="66">
        <f t="shared" si="0"/>
        <v>0.216</v>
      </c>
      <c r="T5" s="40"/>
      <c r="U5" s="40"/>
      <c r="V5" s="40"/>
      <c r="X5" s="24">
        <v>28</v>
      </c>
      <c r="Y5" s="24">
        <v>1</v>
      </c>
      <c r="AA5" s="24" t="s">
        <v>103</v>
      </c>
      <c r="AB5" s="24">
        <v>7</v>
      </c>
    </row>
    <row r="6" spans="1:30" x14ac:dyDescent="0.25">
      <c r="D6" s="24" t="s">
        <v>7</v>
      </c>
      <c r="E6" s="24">
        <v>1.1499999999999999</v>
      </c>
      <c r="F6" s="24">
        <v>1.1499999999999999</v>
      </c>
      <c r="K6" s="24" t="s">
        <v>84</v>
      </c>
      <c r="L6" s="24">
        <v>3.3</v>
      </c>
      <c r="M6" s="40">
        <v>80000</v>
      </c>
      <c r="N6" s="40">
        <v>98000</v>
      </c>
      <c r="O6" s="40">
        <v>112000</v>
      </c>
      <c r="P6" s="56">
        <v>0.6</v>
      </c>
      <c r="Q6" s="65" t="b">
        <f>IF(Q5=TRUE,TRUE,HeaterModels[[#This Row],[Heater Rating]]=calRecomendedUnit)</f>
        <v>1</v>
      </c>
      <c r="R6" s="65">
        <f>COUNTIFS($Q$2:Q6,TRUE)</f>
        <v>5</v>
      </c>
      <c r="S6" s="66">
        <f t="shared" si="0"/>
        <v>0.12959999999999999</v>
      </c>
      <c r="T6" s="40"/>
      <c r="U6" s="40" t="s">
        <v>92</v>
      </c>
      <c r="V6" s="40" t="s">
        <v>131</v>
      </c>
      <c r="X6" s="24">
        <v>29</v>
      </c>
      <c r="Y6" s="24">
        <v>1</v>
      </c>
      <c r="AA6" s="24" t="s">
        <v>23</v>
      </c>
      <c r="AB6" s="24">
        <v>7</v>
      </c>
    </row>
    <row r="7" spans="1:30" x14ac:dyDescent="0.25">
      <c r="D7" s="24" t="s">
        <v>9</v>
      </c>
      <c r="E7" s="24">
        <v>1.3</v>
      </c>
      <c r="F7" s="24">
        <v>1.3</v>
      </c>
      <c r="K7" s="24" t="s">
        <v>85</v>
      </c>
      <c r="L7" s="24">
        <v>3.8</v>
      </c>
      <c r="M7" s="40">
        <v>110000</v>
      </c>
      <c r="N7" s="40">
        <v>132000</v>
      </c>
      <c r="O7" s="40">
        <v>154000</v>
      </c>
      <c r="P7" s="56">
        <v>0.6</v>
      </c>
      <c r="Q7" s="65" t="b">
        <f>IF(Q6=TRUE,TRUE,HeaterModels[[#This Row],[Heater Rating]]=calRecomendedUnit)</f>
        <v>1</v>
      </c>
      <c r="R7" s="65">
        <f>COUNTIFS($Q$2:Q7,TRUE)</f>
        <v>6</v>
      </c>
      <c r="S7" s="66">
        <f t="shared" si="0"/>
        <v>7.7759999999999996E-2</v>
      </c>
      <c r="T7" s="40"/>
      <c r="U7" s="40" t="s">
        <v>92</v>
      </c>
      <c r="V7" s="40" t="s">
        <v>134</v>
      </c>
      <c r="X7" s="24">
        <v>30</v>
      </c>
      <c r="Y7" s="24">
        <v>1.05</v>
      </c>
      <c r="AA7" s="24" t="s">
        <v>104</v>
      </c>
      <c r="AB7" s="24">
        <v>11</v>
      </c>
    </row>
    <row r="8" spans="1:30" x14ac:dyDescent="0.25">
      <c r="D8" s="24" t="s">
        <v>132</v>
      </c>
      <c r="E8" s="24">
        <v>1.3</v>
      </c>
      <c r="F8" s="24">
        <v>1.3</v>
      </c>
      <c r="K8" s="24" t="s">
        <v>138</v>
      </c>
      <c r="L8" s="24">
        <v>5.2</v>
      </c>
      <c r="M8" s="40">
        <v>150000</v>
      </c>
      <c r="N8" s="40">
        <v>180000</v>
      </c>
      <c r="O8" s="40">
        <v>210000</v>
      </c>
      <c r="P8" s="56">
        <v>0.5</v>
      </c>
      <c r="Q8" s="65" t="b">
        <f>IF(Q7=TRUE,TRUE,HeaterModels[[#This Row],[Heater Rating]]=calRecomendedUnit)</f>
        <v>1</v>
      </c>
      <c r="R8" s="65">
        <f>COUNTIFS($Q$2:Q8,TRUE)</f>
        <v>7</v>
      </c>
      <c r="S8" s="66">
        <f t="shared" si="0"/>
        <v>3.8879999999999998E-2</v>
      </c>
      <c r="T8" s="40"/>
      <c r="U8" s="24" t="s">
        <v>83</v>
      </c>
      <c r="V8" s="40" t="s">
        <v>131</v>
      </c>
      <c r="X8" s="24">
        <v>31</v>
      </c>
      <c r="Y8" s="24">
        <v>1.1000000000000001</v>
      </c>
      <c r="AA8" s="24" t="s">
        <v>105</v>
      </c>
      <c r="AB8" s="24">
        <v>11</v>
      </c>
    </row>
    <row r="9" spans="1:30" x14ac:dyDescent="0.25">
      <c r="U9" s="24" t="s">
        <v>83</v>
      </c>
      <c r="V9" s="40" t="s">
        <v>135</v>
      </c>
      <c r="X9" s="24">
        <v>32</v>
      </c>
      <c r="Y9" s="24">
        <v>1.1000000000000001</v>
      </c>
      <c r="AA9" s="24" t="s">
        <v>26</v>
      </c>
      <c r="AB9" s="24">
        <v>11</v>
      </c>
    </row>
    <row r="10" spans="1:30" x14ac:dyDescent="0.25">
      <c r="V10" s="40"/>
      <c r="AA10" s="24" t="s">
        <v>106</v>
      </c>
      <c r="AB10" s="24">
        <v>7</v>
      </c>
    </row>
    <row r="11" spans="1:30" x14ac:dyDescent="0.25">
      <c r="U11" s="24" t="s">
        <v>84</v>
      </c>
      <c r="V11" s="40" t="s">
        <v>136</v>
      </c>
      <c r="AA11" s="24" t="s">
        <v>28</v>
      </c>
      <c r="AB11" s="24">
        <v>7</v>
      </c>
    </row>
    <row r="12" spans="1:30" x14ac:dyDescent="0.25">
      <c r="U12" s="24" t="s">
        <v>85</v>
      </c>
      <c r="V12" s="24" t="s">
        <v>137</v>
      </c>
      <c r="AA12" s="24" t="s">
        <v>29</v>
      </c>
      <c r="AB12" s="24">
        <v>7</v>
      </c>
    </row>
    <row r="13" spans="1:30" x14ac:dyDescent="0.25">
      <c r="U13" s="24" t="s">
        <v>138</v>
      </c>
      <c r="V13" s="24" t="s">
        <v>139</v>
      </c>
      <c r="AA13" s="24" t="s">
        <v>30</v>
      </c>
      <c r="AB13" s="24">
        <v>3</v>
      </c>
    </row>
    <row r="29" spans="19:19" x14ac:dyDescent="0.25">
      <c r="S29" s="60"/>
    </row>
    <row r="30" spans="19:19" x14ac:dyDescent="0.25">
      <c r="S30" s="59"/>
    </row>
    <row r="31" spans="19:19" x14ac:dyDescent="0.25">
      <c r="S31" s="60"/>
    </row>
  </sheetData>
  <sortState ref="E2:E7">
    <sortCondition descending="1" ref="E2"/>
  </sortState>
  <dataValidations count="2">
    <dataValidation type="list" allowBlank="1" showInputMessage="1" showErrorMessage="1" sqref="U2:U1048576">
      <formula1>OFFSET($K$1,1,0,COUNTA($K:$K)-1,1)</formula1>
    </dataValidation>
    <dataValidation type="list" allowBlank="1" showInputMessage="1" showErrorMessage="1" errorTitle="Data Entry Error" error="Please select from drop down list" sqref="U2:U1048576">
      <formula1>OFFSET($K$1,1,0,COUNTA($K:$K)-1,1)</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3"/>
  <sheetViews>
    <sheetView showGridLines="0" workbookViewId="0">
      <selection activeCell="L32" sqref="L32"/>
    </sheetView>
  </sheetViews>
  <sheetFormatPr defaultColWidth="8.7109375" defaultRowHeight="15" x14ac:dyDescent="0.25"/>
  <cols>
    <col min="1" max="1" width="2.5703125" style="24" customWidth="1"/>
    <col min="2" max="2" width="24.85546875" style="24" bestFit="1" customWidth="1"/>
    <col min="3" max="3" width="11" style="42" bestFit="1" customWidth="1"/>
    <col min="4" max="4" width="9.85546875" style="24" customWidth="1"/>
    <col min="5" max="16384" width="8.7109375" style="24"/>
  </cols>
  <sheetData>
    <row r="1" spans="1:4" ht="18" x14ac:dyDescent="0.35">
      <c r="A1" s="39" t="s">
        <v>67</v>
      </c>
    </row>
    <row r="3" spans="1:4" ht="14.45" x14ac:dyDescent="0.3">
      <c r="A3" s="38">
        <v>1</v>
      </c>
      <c r="B3" s="38" t="s">
        <v>90</v>
      </c>
    </row>
    <row r="4" spans="1:4" ht="14.45" x14ac:dyDescent="0.3">
      <c r="B4" s="24" t="s">
        <v>88</v>
      </c>
      <c r="C4" s="67">
        <f>INDEX(Lookup!E:E,MATCH(txtLocation,Lookup!D:D,0))</f>
        <v>1</v>
      </c>
    </row>
    <row r="5" spans="1:4" ht="14.45" x14ac:dyDescent="0.3">
      <c r="B5" s="24" t="s">
        <v>91</v>
      </c>
      <c r="C5" s="68">
        <f>calPoolCapacity*C4</f>
        <v>0</v>
      </c>
      <c r="D5" s="24" t="s">
        <v>1</v>
      </c>
    </row>
    <row r="6" spans="1:4" ht="14.45" x14ac:dyDescent="0.3">
      <c r="B6" s="24" t="s">
        <v>96</v>
      </c>
      <c r="C6" s="67" t="str">
        <f>INDEX(Lookup!I:I,MATCH(txtSeason,Lookup!H:H,0))</f>
        <v>Full Year</v>
      </c>
    </row>
    <row r="7" spans="1:4" ht="14.45" x14ac:dyDescent="0.3">
      <c r="B7" s="24" t="s">
        <v>90</v>
      </c>
      <c r="C7" s="67" t="str">
        <f>INDEX(HeaterModels[Heater Rating],MATCH(C5,INDEX(HeaterModels[],0,MATCH(C6,HeaterModels[#Headers],0)),1))</f>
        <v>9kw Model</v>
      </c>
    </row>
    <row r="8" spans="1:4" ht="14.45" x14ac:dyDescent="0.3">
      <c r="B8" s="24" t="s">
        <v>126</v>
      </c>
      <c r="C8" s="67" t="str">
        <f>calSelectedHeater</f>
        <v>None</v>
      </c>
    </row>
    <row r="9" spans="1:4" ht="14.45" x14ac:dyDescent="0.3">
      <c r="B9" s="24" t="s">
        <v>97</v>
      </c>
      <c r="C9" s="67">
        <f>INDEX(HeaterModels[Kw PH Draw],MATCH(IF(C8="None",C7,C8),HeaterModels[Heater Rating],0))</f>
        <v>1.4</v>
      </c>
      <c r="D9" s="24" t="s">
        <v>98</v>
      </c>
    </row>
    <row r="10" spans="1:4" ht="14.45" x14ac:dyDescent="0.3">
      <c r="B10" s="24" t="s">
        <v>110</v>
      </c>
      <c r="C10" s="69">
        <f>txtPowerCost*C9/100</f>
        <v>0.42</v>
      </c>
    </row>
    <row r="11" spans="1:4" ht="14.45" x14ac:dyDescent="0.3">
      <c r="B11" s="24" t="s">
        <v>101</v>
      </c>
      <c r="C11" s="67">
        <f>INDEX(Lookup!Y:Y,MATCH(txtPoolTemp,Lookup!X:X,0))</f>
        <v>1</v>
      </c>
    </row>
    <row r="12" spans="1:4" ht="14.45" x14ac:dyDescent="0.3">
      <c r="B12" s="24" t="s">
        <v>109</v>
      </c>
      <c r="C12" s="67">
        <f>INDEX(Lookup!F:F,MATCH(txtLocation,Lookup!D:D,0))</f>
        <v>1</v>
      </c>
    </row>
    <row r="13" spans="1:4" ht="14.45" x14ac:dyDescent="0.3">
      <c r="B13" s="24" t="s">
        <v>129</v>
      </c>
      <c r="C13" s="67">
        <f>IF(calSelectedHeater="None",1,INDEX(Lookup!S:S,MATCH(calSelectedHeater,Lookup!K:K,0)))</f>
        <v>1</v>
      </c>
    </row>
    <row r="15" spans="1:4" ht="14.45" x14ac:dyDescent="0.3">
      <c r="A15" s="38">
        <v>2</v>
      </c>
      <c r="B15" s="38" t="s">
        <v>100</v>
      </c>
    </row>
    <row r="16" spans="1:4" ht="28.9" x14ac:dyDescent="0.3">
      <c r="B16" s="24" t="s">
        <v>18</v>
      </c>
      <c r="C16" s="45" t="s">
        <v>100</v>
      </c>
      <c r="D16" s="45" t="s">
        <v>111</v>
      </c>
    </row>
    <row r="17" spans="1:4" ht="14.45" x14ac:dyDescent="0.3">
      <c r="B17" s="24" t="s">
        <v>19</v>
      </c>
      <c r="C17" s="67">
        <f>INDEX(Lookup!AB:AB,MATCH(B17,Lookup!AA:AA,0))*calPoolTempFactor*calLocationHoursFactor*calUpgradeFactor</f>
        <v>3</v>
      </c>
      <c r="D17" s="70">
        <f>C17*31</f>
        <v>93</v>
      </c>
    </row>
    <row r="18" spans="1:4" ht="14.45" x14ac:dyDescent="0.3">
      <c r="B18" s="24" t="s">
        <v>20</v>
      </c>
      <c r="C18" s="67">
        <f>INDEX(Lookup!AB:AB,MATCH(B18,Lookup!AA:AA,0))*calPoolTempFactor*calLocationHoursFactor*calUpgradeFactor</f>
        <v>3</v>
      </c>
      <c r="D18" s="70">
        <f>C18*28</f>
        <v>84</v>
      </c>
    </row>
    <row r="19" spans="1:4" ht="14.45" x14ac:dyDescent="0.3">
      <c r="B19" s="24" t="s">
        <v>102</v>
      </c>
      <c r="C19" s="67">
        <f>INDEX(Lookup!AB:AB,MATCH(B19,Lookup!AA:AA,0))*calPoolTempFactor*calLocationHoursFactor*calUpgradeFactor</f>
        <v>7</v>
      </c>
      <c r="D19" s="70">
        <f t="shared" ref="D19:D28" si="0">C19*31</f>
        <v>217</v>
      </c>
    </row>
    <row r="20" spans="1:4" ht="14.45" x14ac:dyDescent="0.3">
      <c r="B20" s="24" t="s">
        <v>103</v>
      </c>
      <c r="C20" s="67">
        <f>INDEX(Lookup!AB:AB,MATCH(B20,Lookup!AA:AA,0))*calPoolTempFactor*calLocationHoursFactor*calUpgradeFactor</f>
        <v>7</v>
      </c>
      <c r="D20" s="70">
        <f>C20*30</f>
        <v>210</v>
      </c>
    </row>
    <row r="21" spans="1:4" ht="14.45" x14ac:dyDescent="0.3">
      <c r="B21" s="24" t="s">
        <v>23</v>
      </c>
      <c r="C21" s="67">
        <f>INDEX(Lookup!AB:AB,MATCH(B21,Lookup!AA:AA,0))*calPoolTempFactor*calLocationHoursFactor*calUpgradeFactor</f>
        <v>7</v>
      </c>
      <c r="D21" s="70">
        <f t="shared" si="0"/>
        <v>217</v>
      </c>
    </row>
    <row r="22" spans="1:4" ht="14.45" x14ac:dyDescent="0.3">
      <c r="B22" s="24" t="s">
        <v>104</v>
      </c>
      <c r="C22" s="67">
        <f>INDEX(Lookup!AB:AB,MATCH(B22,Lookup!AA:AA,0))*calPoolTempFactor*calLocationHoursFactor*calUpgradeFactor</f>
        <v>11</v>
      </c>
      <c r="D22" s="70">
        <f>C22*30</f>
        <v>330</v>
      </c>
    </row>
    <row r="23" spans="1:4" x14ac:dyDescent="0.25">
      <c r="B23" s="24" t="s">
        <v>105</v>
      </c>
      <c r="C23" s="67">
        <f>INDEX(Lookup!AB:AB,MATCH(B23,Lookup!AA:AA,0))*calPoolTempFactor*calLocationHoursFactor*calUpgradeFactor</f>
        <v>11</v>
      </c>
      <c r="D23" s="70">
        <f t="shared" si="0"/>
        <v>341</v>
      </c>
    </row>
    <row r="24" spans="1:4" x14ac:dyDescent="0.25">
      <c r="B24" s="24" t="s">
        <v>26</v>
      </c>
      <c r="C24" s="67">
        <f>INDEX(Lookup!AB:AB,MATCH(B24,Lookup!AA:AA,0))*calPoolTempFactor*calLocationHoursFactor*calUpgradeFactor</f>
        <v>11</v>
      </c>
      <c r="D24" s="70">
        <f t="shared" si="0"/>
        <v>341</v>
      </c>
    </row>
    <row r="25" spans="1:4" x14ac:dyDescent="0.25">
      <c r="B25" s="24" t="s">
        <v>106</v>
      </c>
      <c r="C25" s="67">
        <f>INDEX(Lookup!AB:AB,MATCH(B25,Lookup!AA:AA,0))*calPoolTempFactor*calLocationHoursFactor*calUpgradeFactor</f>
        <v>7</v>
      </c>
      <c r="D25" s="70">
        <f>C25*30</f>
        <v>210</v>
      </c>
    </row>
    <row r="26" spans="1:4" x14ac:dyDescent="0.25">
      <c r="B26" s="24" t="s">
        <v>28</v>
      </c>
      <c r="C26" s="67">
        <f>INDEX(Lookup!AB:AB,MATCH(B26,Lookup!AA:AA,0))*calPoolTempFactor*calLocationHoursFactor*calUpgradeFactor</f>
        <v>7</v>
      </c>
      <c r="D26" s="70">
        <f t="shared" si="0"/>
        <v>217</v>
      </c>
    </row>
    <row r="27" spans="1:4" x14ac:dyDescent="0.25">
      <c r="B27" s="24" t="s">
        <v>29</v>
      </c>
      <c r="C27" s="67">
        <f>INDEX(Lookup!AB:AB,MATCH(B27,Lookup!AA:AA,0))*calPoolTempFactor*calLocationHoursFactor*calUpgradeFactor</f>
        <v>7</v>
      </c>
      <c r="D27" s="70">
        <f>C27*30</f>
        <v>210</v>
      </c>
    </row>
    <row r="28" spans="1:4" x14ac:dyDescent="0.25">
      <c r="B28" s="24" t="s">
        <v>30</v>
      </c>
      <c r="C28" s="67">
        <f>INDEX(Lookup!AB:AB,MATCH(B28,Lookup!AA:AA,0))*calPoolTempFactor*calLocationHoursFactor*calUpgradeFactor</f>
        <v>3</v>
      </c>
      <c r="D28" s="70">
        <f t="shared" si="0"/>
        <v>93</v>
      </c>
    </row>
    <row r="30" spans="1:4" x14ac:dyDescent="0.25">
      <c r="A30" s="38">
        <v>3</v>
      </c>
      <c r="B30" s="38" t="s">
        <v>121</v>
      </c>
    </row>
    <row r="31" spans="1:4" x14ac:dyDescent="0.25">
      <c r="B31" s="70" t="str">
        <f>IF(COUNTIFS(Lookup!U:U,calRecomendedUnit)&gt;=C31,INDEX(Lookup!V:V,MATCH(calRecomendedUnit,Lookup!U:U,0)+C31-1),"")</f>
        <v>Aquatight Saturn Inverter Model iX09</v>
      </c>
      <c r="C31" s="42">
        <v>1</v>
      </c>
    </row>
    <row r="32" spans="1:4" x14ac:dyDescent="0.25">
      <c r="B32" s="70" t="str">
        <f>IF(COUNTIFS(Lookup!U:U,calRecomendedUnit)&gt;=C32,INDEX(Lookup!V:V,MATCH(calRecomendedUnit,Lookup!U:U,0)+C32-1),"")</f>
        <v/>
      </c>
      <c r="C32" s="42">
        <v>2</v>
      </c>
    </row>
    <row r="33" spans="1:3" x14ac:dyDescent="0.25">
      <c r="B33" s="70" t="str">
        <f>IF(COUNTIFS(Lookup!U:U,calRecomendedUnit)&gt;=C33,INDEX(Lookup!V:V,MATCH(calRecomendedUnit,Lookup!U:U,0)+C33-1),"")</f>
        <v/>
      </c>
      <c r="C33" s="42">
        <v>3</v>
      </c>
    </row>
    <row r="34" spans="1:3" x14ac:dyDescent="0.25">
      <c r="B34" s="70" t="str">
        <f>IF(COUNTIFS(Lookup!U:U,calRecomendedUnit)&gt;=C34,INDEX(Lookup!V:V,MATCH(calRecomendedUnit,Lookup!U:U,0)+C34-1),"")</f>
        <v/>
      </c>
      <c r="C34" s="42">
        <v>4</v>
      </c>
    </row>
    <row r="35" spans="1:3" x14ac:dyDescent="0.25">
      <c r="B35" s="70" t="str">
        <f>IF(COUNTIFS(Lookup!U:U,calRecomendedUnit)&gt;=C35,INDEX(Lookup!V:V,MATCH(calRecomendedUnit,Lookup!U:U,0)+C35-1),"")</f>
        <v/>
      </c>
      <c r="C35" s="42">
        <v>5</v>
      </c>
    </row>
    <row r="38" spans="1:3" x14ac:dyDescent="0.25">
      <c r="A38" s="38">
        <v>4</v>
      </c>
      <c r="B38" s="38" t="s">
        <v>127</v>
      </c>
    </row>
    <row r="39" spans="1:3" x14ac:dyDescent="0.25">
      <c r="B39" s="24" t="s">
        <v>128</v>
      </c>
    </row>
    <row r="40" spans="1:3" x14ac:dyDescent="0.25">
      <c r="B40" s="70" t="str">
        <f>IFERROR(INDEX(Lookup!K:K,MATCH(C40,Lookup!R:R,0)),"")</f>
        <v>12kw Model</v>
      </c>
      <c r="C40" s="42">
        <v>2</v>
      </c>
    </row>
    <row r="41" spans="1:3" x14ac:dyDescent="0.25">
      <c r="B41" s="70" t="str">
        <f>IFERROR(INDEX(Lookup!K:K,MATCH(C41,Lookup!R:R,0)),"")</f>
        <v>14kw Model</v>
      </c>
      <c r="C41" s="42">
        <v>3</v>
      </c>
    </row>
    <row r="42" spans="1:3" x14ac:dyDescent="0.25">
      <c r="B42" s="70" t="str">
        <f>IFERROR(INDEX(Lookup!K:K,MATCH(C42,Lookup!R:R,0)),"")</f>
        <v>16kw Model</v>
      </c>
      <c r="C42" s="42">
        <v>4</v>
      </c>
    </row>
    <row r="43" spans="1:3" x14ac:dyDescent="0.25">
      <c r="B43" s="70" t="str">
        <f>IFERROR(INDEX(Lookup!K:K,MATCH(C43,Lookup!R:R,0)),"")</f>
        <v>23kw Model</v>
      </c>
      <c r="C43" s="42">
        <v>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Heat Pump Calculator</vt:lpstr>
      <vt:lpstr>Sheet1</vt:lpstr>
      <vt:lpstr>Lookup</vt:lpstr>
      <vt:lpstr>Calculations</vt:lpstr>
      <vt:lpstr>Sheet2</vt:lpstr>
      <vt:lpstr>calCostPerHour</vt:lpstr>
      <vt:lpstr>calLocationHoursFactor</vt:lpstr>
      <vt:lpstr>calPoolCapacity</vt:lpstr>
      <vt:lpstr>calPoolTempFactor</vt:lpstr>
      <vt:lpstr>calPowerDraw</vt:lpstr>
      <vt:lpstr>calRecomendedUnit</vt:lpstr>
      <vt:lpstr>calSeason</vt:lpstr>
      <vt:lpstr>calSelectedHeater</vt:lpstr>
      <vt:lpstr>calUpgradeFactor</vt:lpstr>
      <vt:lpstr>ddUpgradeHeaters</vt:lpstr>
      <vt:lpstr>InverterFactor</vt:lpstr>
      <vt:lpstr>Location</vt:lpstr>
      <vt:lpstr>NoCoverFactor</vt:lpstr>
      <vt:lpstr>'Heat Pump Calculator'!Print_Area</vt:lpstr>
      <vt:lpstr>txtLocation</vt:lpstr>
      <vt:lpstr>txtPoolCover</vt:lpstr>
      <vt:lpstr>txtPoolTemp</vt:lpstr>
      <vt:lpstr>txtPowerCost</vt:lpstr>
      <vt:lpstr>txtSeason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Craig</dc:creator>
  <cp:lastModifiedBy>Grant Craig</cp:lastModifiedBy>
  <cp:lastPrinted>2019-08-26T02:21:24Z</cp:lastPrinted>
  <dcterms:created xsi:type="dcterms:W3CDTF">2017-09-19T06:36:22Z</dcterms:created>
  <dcterms:modified xsi:type="dcterms:W3CDTF">2020-10-19T08:32:53Z</dcterms:modified>
</cp:coreProperties>
</file>